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885" yWindow="600" windowWidth="14820" windowHeight="8820" tabRatio="714"/>
  </bookViews>
  <sheets>
    <sheet name="9 Прогр(нов.форм)" sheetId="13" r:id="rId1"/>
  </sheets>
  <definedNames>
    <definedName name="_xlnm.Print_Titles" localSheetId="0">'9 Прогр(нов.форм)'!$5:$5</definedName>
  </definedNames>
  <calcPr calcId="125725"/>
</workbook>
</file>

<file path=xl/calcChain.xml><?xml version="1.0" encoding="utf-8"?>
<calcChain xmlns="http://schemas.openxmlformats.org/spreadsheetml/2006/main">
  <c r="L72" i="13"/>
  <c r="K72"/>
  <c r="O116" l="1"/>
  <c r="N116"/>
  <c r="O115"/>
  <c r="N115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5"/>
  <c r="O65"/>
  <c r="N66"/>
  <c r="O66"/>
  <c r="N67"/>
  <c r="O67"/>
  <c r="N68"/>
  <c r="O68"/>
  <c r="N69"/>
  <c r="O69"/>
  <c r="N70"/>
  <c r="O70"/>
  <c r="N71"/>
  <c r="O71"/>
  <c r="N127"/>
  <c r="O127"/>
  <c r="N128"/>
  <c r="O128"/>
  <c r="N130"/>
  <c r="O130"/>
  <c r="N131"/>
  <c r="O131"/>
  <c r="N132"/>
  <c r="O132"/>
  <c r="N133"/>
  <c r="O133"/>
  <c r="N135"/>
  <c r="O135"/>
  <c r="N136"/>
  <c r="O136"/>
  <c r="N137"/>
  <c r="O137"/>
  <c r="N139"/>
  <c r="O139"/>
  <c r="N140"/>
  <c r="O140"/>
  <c r="N141"/>
  <c r="O141"/>
  <c r="N143"/>
  <c r="O143"/>
  <c r="N146"/>
  <c r="O146"/>
  <c r="N148"/>
  <c r="O148"/>
  <c r="N150"/>
  <c r="O150"/>
  <c r="K9"/>
  <c r="L9"/>
  <c r="K10"/>
  <c r="L10"/>
  <c r="K11"/>
  <c r="L11"/>
  <c r="K13"/>
  <c r="L13"/>
  <c r="K14"/>
  <c r="L14"/>
  <c r="K15"/>
  <c r="L15"/>
  <c r="K17"/>
  <c r="L17"/>
  <c r="K19"/>
  <c r="L19"/>
  <c r="K20"/>
  <c r="L20"/>
  <c r="K21"/>
  <c r="L21"/>
  <c r="K22"/>
  <c r="L22"/>
  <c r="K24"/>
  <c r="L24"/>
  <c r="K25"/>
  <c r="L25"/>
  <c r="K26"/>
  <c r="L26"/>
  <c r="K28"/>
  <c r="L28"/>
  <c r="K29"/>
  <c r="L29"/>
  <c r="K30"/>
  <c r="L30"/>
  <c r="K31"/>
  <c r="L31"/>
  <c r="K33"/>
  <c r="L33"/>
  <c r="K35"/>
  <c r="L35"/>
  <c r="K36"/>
  <c r="L36"/>
  <c r="K37"/>
  <c r="L37"/>
  <c r="K38"/>
  <c r="L38"/>
  <c r="K41"/>
  <c r="L41"/>
  <c r="K42"/>
  <c r="L42"/>
  <c r="K43"/>
  <c r="L43"/>
  <c r="K45"/>
  <c r="L45"/>
  <c r="K47"/>
  <c r="L47"/>
  <c r="K49"/>
  <c r="L49"/>
  <c r="K51"/>
  <c r="L51"/>
  <c r="K54"/>
  <c r="L54"/>
  <c r="K55"/>
  <c r="L55"/>
  <c r="K56"/>
  <c r="L56"/>
  <c r="K57"/>
  <c r="L57"/>
  <c r="K59"/>
  <c r="L59"/>
  <c r="K60"/>
  <c r="L60"/>
  <c r="K61"/>
  <c r="L61"/>
  <c r="K62"/>
  <c r="L62"/>
  <c r="K64"/>
  <c r="L64"/>
  <c r="K65"/>
  <c r="L65"/>
  <c r="K66"/>
  <c r="L66"/>
  <c r="K67"/>
  <c r="L67"/>
  <c r="K69"/>
  <c r="L69"/>
  <c r="K71"/>
  <c r="L71"/>
  <c r="K74"/>
  <c r="L74"/>
  <c r="K75"/>
  <c r="L75"/>
  <c r="K76"/>
  <c r="L76"/>
  <c r="K77"/>
  <c r="L77"/>
  <c r="K79"/>
  <c r="L79"/>
  <c r="K80"/>
  <c r="L80"/>
  <c r="K81"/>
  <c r="L81"/>
  <c r="K82"/>
  <c r="L82"/>
  <c r="K84"/>
  <c r="L84"/>
  <c r="K85"/>
  <c r="L85"/>
  <c r="K86"/>
  <c r="L86"/>
  <c r="K88"/>
  <c r="L88"/>
  <c r="K89"/>
  <c r="L89"/>
  <c r="K90"/>
  <c r="L90"/>
  <c r="K93"/>
  <c r="L93"/>
  <c r="K94"/>
  <c r="L94"/>
  <c r="K95"/>
  <c r="L95"/>
  <c r="K97"/>
  <c r="L97"/>
  <c r="K99"/>
  <c r="L99"/>
  <c r="K102"/>
  <c r="L102"/>
  <c r="K103"/>
  <c r="L103"/>
  <c r="K104"/>
  <c r="L104"/>
  <c r="K106"/>
  <c r="L106"/>
  <c r="K108"/>
  <c r="L108"/>
  <c r="K110"/>
  <c r="L110"/>
  <c r="K111"/>
  <c r="L111"/>
  <c r="K112"/>
  <c r="L112"/>
  <c r="K113"/>
  <c r="L113"/>
  <c r="K115"/>
  <c r="L115"/>
  <c r="K117"/>
  <c r="L117"/>
  <c r="K119"/>
  <c r="L119"/>
  <c r="K120"/>
  <c r="L120"/>
  <c r="K121"/>
  <c r="L121"/>
  <c r="K122"/>
  <c r="L122"/>
  <c r="K125"/>
  <c r="L125"/>
  <c r="K126"/>
  <c r="L126"/>
  <c r="K127"/>
  <c r="L127"/>
  <c r="K128"/>
  <c r="L128"/>
  <c r="K130"/>
  <c r="L130"/>
  <c r="K131"/>
  <c r="L131"/>
  <c r="K132"/>
  <c r="L132"/>
  <c r="K133"/>
  <c r="L133"/>
  <c r="K135"/>
  <c r="L135"/>
  <c r="K136"/>
  <c r="L136"/>
  <c r="K137"/>
  <c r="L137"/>
  <c r="K139"/>
  <c r="L139"/>
  <c r="K140"/>
  <c r="L140"/>
  <c r="K141"/>
  <c r="L141"/>
  <c r="K143"/>
  <c r="L143"/>
  <c r="K146"/>
  <c r="L146"/>
  <c r="K147"/>
  <c r="K148"/>
  <c r="L148"/>
  <c r="K149"/>
  <c r="K150"/>
  <c r="L150"/>
  <c r="I149"/>
  <c r="N149" s="1"/>
  <c r="I147"/>
  <c r="N147" s="1"/>
  <c r="I145"/>
  <c r="N145" s="1"/>
  <c r="I142"/>
  <c r="I138"/>
  <c r="I134"/>
  <c r="N134" s="1"/>
  <c r="I129"/>
  <c r="N129" s="1"/>
  <c r="I100"/>
  <c r="I91"/>
  <c r="I40"/>
  <c r="I16"/>
  <c r="I12"/>
  <c r="I8"/>
  <c r="J149"/>
  <c r="O149" s="1"/>
  <c r="J147"/>
  <c r="O147" s="1"/>
  <c r="J145"/>
  <c r="J142"/>
  <c r="O142" s="1"/>
  <c r="J138"/>
  <c r="O138" s="1"/>
  <c r="J136"/>
  <c r="J134" s="1"/>
  <c r="J131"/>
  <c r="J129"/>
  <c r="O129" s="1"/>
  <c r="J118"/>
  <c r="O118" s="1"/>
  <c r="J116"/>
  <c r="J114"/>
  <c r="O114" s="1"/>
  <c r="J109"/>
  <c r="O109" s="1"/>
  <c r="J105"/>
  <c r="J101"/>
  <c r="J98"/>
  <c r="J96"/>
  <c r="J92"/>
  <c r="J90"/>
  <c r="J87" s="1"/>
  <c r="J83"/>
  <c r="J82"/>
  <c r="J81"/>
  <c r="N81" s="1"/>
  <c r="J78"/>
  <c r="J76"/>
  <c r="J73"/>
  <c r="N73" s="1"/>
  <c r="J70"/>
  <c r="J68"/>
  <c r="J63"/>
  <c r="J61"/>
  <c r="J58"/>
  <c r="L58" s="1"/>
  <c r="J53"/>
  <c r="J50"/>
  <c r="L50" s="1"/>
  <c r="J48"/>
  <c r="J46"/>
  <c r="J44"/>
  <c r="J40"/>
  <c r="J34"/>
  <c r="J32"/>
  <c r="O32" s="1"/>
  <c r="J27"/>
  <c r="O27" s="1"/>
  <c r="J25"/>
  <c r="J23" s="1"/>
  <c r="J20"/>
  <c r="J18"/>
  <c r="O18" s="1"/>
  <c r="J16"/>
  <c r="J14"/>
  <c r="J12"/>
  <c r="L12" s="1"/>
  <c r="J10"/>
  <c r="N10"/>
  <c r="O11"/>
  <c r="N13"/>
  <c r="O13"/>
  <c r="N14"/>
  <c r="O14"/>
  <c r="O15"/>
  <c r="O19"/>
  <c r="N20"/>
  <c r="O20"/>
  <c r="N24"/>
  <c r="O24"/>
  <c r="N28"/>
  <c r="O28"/>
  <c r="N30"/>
  <c r="O30"/>
  <c r="N33"/>
  <c r="O33"/>
  <c r="N34"/>
  <c r="O35"/>
  <c r="O37"/>
  <c r="N38"/>
  <c r="O38"/>
  <c r="N41"/>
  <c r="O41"/>
  <c r="N42"/>
  <c r="O42"/>
  <c r="O43"/>
  <c r="N44"/>
  <c r="O44"/>
  <c r="N45"/>
  <c r="O45"/>
  <c r="N46"/>
  <c r="O46"/>
  <c r="O48"/>
  <c r="N49"/>
  <c r="O49"/>
  <c r="O50"/>
  <c r="N75"/>
  <c r="O75"/>
  <c r="N76"/>
  <c r="O80"/>
  <c r="N80"/>
  <c r="N82"/>
  <c r="O82"/>
  <c r="N83"/>
  <c r="O83"/>
  <c r="N84"/>
  <c r="O84"/>
  <c r="O85"/>
  <c r="N85"/>
  <c r="N88"/>
  <c r="O88"/>
  <c r="N89"/>
  <c r="O89"/>
  <c r="O90"/>
  <c r="N90"/>
  <c r="O92"/>
  <c r="O94"/>
  <c r="N95"/>
  <c r="O95"/>
  <c r="N96"/>
  <c r="O96"/>
  <c r="O97"/>
  <c r="N98"/>
  <c r="O98"/>
  <c r="N99"/>
  <c r="O99"/>
  <c r="N102"/>
  <c r="O102"/>
  <c r="N103"/>
  <c r="O103"/>
  <c r="N104"/>
  <c r="O104"/>
  <c r="O108"/>
  <c r="O110"/>
  <c r="N111"/>
  <c r="N113"/>
  <c r="O113"/>
  <c r="N117"/>
  <c r="O117"/>
  <c r="O119"/>
  <c r="N120"/>
  <c r="O120"/>
  <c r="O122"/>
  <c r="O125"/>
  <c r="N126"/>
  <c r="C149"/>
  <c r="C147"/>
  <c r="L147" s="1"/>
  <c r="C146"/>
  <c r="C145" s="1"/>
  <c r="C143"/>
  <c r="C142"/>
  <c r="C140"/>
  <c r="C138" s="1"/>
  <c r="C136"/>
  <c r="C134" s="1"/>
  <c r="K134" s="1"/>
  <c r="C129"/>
  <c r="K129" s="1"/>
  <c r="C124"/>
  <c r="L124" s="1"/>
  <c r="C118"/>
  <c r="K118" s="1"/>
  <c r="C116"/>
  <c r="K116" s="1"/>
  <c r="C114"/>
  <c r="K114" s="1"/>
  <c r="C109"/>
  <c r="C107"/>
  <c r="L107" s="1"/>
  <c r="C105"/>
  <c r="K105" s="1"/>
  <c r="C101"/>
  <c r="C98"/>
  <c r="K98" s="1"/>
  <c r="C96"/>
  <c r="K96" s="1"/>
  <c r="C92"/>
  <c r="C91" s="1"/>
  <c r="C87"/>
  <c r="K87" s="1"/>
  <c r="C83"/>
  <c r="K83" s="1"/>
  <c r="C78"/>
  <c r="K78" s="1"/>
  <c r="C73"/>
  <c r="K73" s="1"/>
  <c r="C70"/>
  <c r="K70" s="1"/>
  <c r="C68"/>
  <c r="K68" s="1"/>
  <c r="C63"/>
  <c r="K63" s="1"/>
  <c r="C58"/>
  <c r="C53"/>
  <c r="K53" s="1"/>
  <c r="C51"/>
  <c r="C50"/>
  <c r="C48"/>
  <c r="K48" s="1"/>
  <c r="C46"/>
  <c r="K46" s="1"/>
  <c r="C45"/>
  <c r="C44" s="1"/>
  <c r="K44" s="1"/>
  <c r="C42"/>
  <c r="C40"/>
  <c r="K40" s="1"/>
  <c r="C34"/>
  <c r="K34" s="1"/>
  <c r="C32"/>
  <c r="C27"/>
  <c r="K27" s="1"/>
  <c r="C23"/>
  <c r="K23" s="1"/>
  <c r="C18"/>
  <c r="K18" s="1"/>
  <c r="C16"/>
  <c r="K16" s="1"/>
  <c r="C12"/>
  <c r="C8"/>
  <c r="N27" l="1"/>
  <c r="L23"/>
  <c r="L149"/>
  <c r="C144"/>
  <c r="O145"/>
  <c r="N142"/>
  <c r="K142"/>
  <c r="N138"/>
  <c r="K138"/>
  <c r="L134"/>
  <c r="L116"/>
  <c r="K109"/>
  <c r="L105"/>
  <c r="L101"/>
  <c r="C100"/>
  <c r="L98"/>
  <c r="L92"/>
  <c r="L78"/>
  <c r="L87"/>
  <c r="C72"/>
  <c r="L83"/>
  <c r="K58"/>
  <c r="L68"/>
  <c r="L63"/>
  <c r="N50"/>
  <c r="K50"/>
  <c r="L48"/>
  <c r="N48"/>
  <c r="L46"/>
  <c r="L44"/>
  <c r="L40"/>
  <c r="L34"/>
  <c r="K32"/>
  <c r="L27"/>
  <c r="N18"/>
  <c r="L18"/>
  <c r="L16"/>
  <c r="K12"/>
  <c r="K91"/>
  <c r="K145"/>
  <c r="K101"/>
  <c r="J91"/>
  <c r="L91" s="1"/>
  <c r="L145"/>
  <c r="L129"/>
  <c r="L109"/>
  <c r="L73"/>
  <c r="L53"/>
  <c r="O12"/>
  <c r="L142"/>
  <c r="L138"/>
  <c r="L118"/>
  <c r="L114"/>
  <c r="L70"/>
  <c r="C52"/>
  <c r="K52" s="1"/>
  <c r="J144"/>
  <c r="K107"/>
  <c r="J39"/>
  <c r="I144"/>
  <c r="J52"/>
  <c r="J100"/>
  <c r="L100" s="1"/>
  <c r="K124"/>
  <c r="K92"/>
  <c r="J123"/>
  <c r="L96"/>
  <c r="L32"/>
  <c r="O134"/>
  <c r="I7"/>
  <c r="O123"/>
  <c r="N123"/>
  <c r="O23"/>
  <c r="J72"/>
  <c r="O10"/>
  <c r="N118"/>
  <c r="N109"/>
  <c r="N105"/>
  <c r="O81"/>
  <c r="N12"/>
  <c r="J8"/>
  <c r="N8" s="1"/>
  <c r="O105"/>
  <c r="O124"/>
  <c r="N25"/>
  <c r="N122"/>
  <c r="N101"/>
  <c r="O101"/>
  <c r="O86"/>
  <c r="N86"/>
  <c r="O73"/>
  <c r="N78"/>
  <c r="N92"/>
  <c r="O126"/>
  <c r="N124"/>
  <c r="N119"/>
  <c r="O111"/>
  <c r="N40"/>
  <c r="N35"/>
  <c r="N32"/>
  <c r="N29"/>
  <c r="N15"/>
  <c r="N125"/>
  <c r="N114"/>
  <c r="N110"/>
  <c r="N108"/>
  <c r="N97"/>
  <c r="N72"/>
  <c r="N23"/>
  <c r="N19"/>
  <c r="N94"/>
  <c r="N11"/>
  <c r="O76"/>
  <c r="N43"/>
  <c r="N37"/>
  <c r="C123"/>
  <c r="K123" s="1"/>
  <c r="C39"/>
  <c r="O91" l="1"/>
  <c r="N91"/>
  <c r="K100"/>
  <c r="L144"/>
  <c r="O144"/>
  <c r="L123"/>
  <c r="K144"/>
  <c r="N39"/>
  <c r="L39"/>
  <c r="O39"/>
  <c r="N144"/>
  <c r="C7"/>
  <c r="K39"/>
  <c r="L52"/>
  <c r="O72"/>
  <c r="L8"/>
  <c r="K8"/>
  <c r="O8"/>
  <c r="J7"/>
  <c r="N77"/>
  <c r="O106"/>
  <c r="N106"/>
  <c r="O40"/>
  <c r="O121"/>
  <c r="N121"/>
  <c r="N93"/>
  <c r="O93"/>
  <c r="O21"/>
  <c r="N21"/>
  <c r="O78"/>
  <c r="N100"/>
  <c r="O36"/>
  <c r="N36"/>
  <c r="O16"/>
  <c r="N16"/>
  <c r="O29"/>
  <c r="O25"/>
  <c r="N7" l="1"/>
  <c r="O100"/>
  <c r="O77"/>
  <c r="K7"/>
  <c r="O7" l="1"/>
  <c r="L7"/>
  <c r="H123" l="1"/>
  <c r="H117"/>
  <c r="H70"/>
  <c r="H69"/>
  <c r="H32"/>
  <c r="H43" l="1"/>
  <c r="H10" l="1"/>
  <c r="H75"/>
  <c r="H120"/>
  <c r="H126" l="1"/>
  <c r="H124"/>
  <c r="H122"/>
  <c r="H115"/>
  <c r="H111"/>
  <c r="H106"/>
  <c r="H101"/>
  <c r="H95"/>
  <c r="H93"/>
  <c r="H91"/>
  <c r="H86"/>
  <c r="H84"/>
  <c r="H82"/>
  <c r="H78"/>
  <c r="H73"/>
  <c r="H71"/>
  <c r="H61"/>
  <c r="H58"/>
  <c r="H56"/>
  <c r="H51"/>
  <c r="H46"/>
  <c r="H41"/>
  <c r="H38"/>
  <c r="H36"/>
  <c r="H34"/>
  <c r="H30"/>
  <c r="H25"/>
  <c r="H21"/>
  <c r="H16"/>
  <c r="H14"/>
  <c r="H12"/>
  <c r="H8"/>
  <c r="H29" l="1"/>
  <c r="H100"/>
  <c r="H121"/>
  <c r="H77"/>
  <c r="H40"/>
  <c r="H66"/>
  <c r="H60" s="1"/>
  <c r="H119"/>
  <c r="H7" l="1"/>
  <c r="F117"/>
  <c r="F113"/>
  <c r="F94"/>
  <c r="F92"/>
  <c r="F80"/>
  <c r="F75"/>
  <c r="F68"/>
  <c r="F63"/>
  <c r="F53"/>
  <c r="F48"/>
  <c r="F43"/>
  <c r="F39"/>
  <c r="F18" l="1"/>
  <c r="E11" l="1"/>
  <c r="G11" s="1"/>
  <c r="G70" l="1"/>
  <c r="F108"/>
  <c r="F83"/>
  <c r="G24" l="1"/>
  <c r="F21"/>
  <c r="F120"/>
  <c r="F37"/>
  <c r="F32"/>
  <c r="G20"/>
  <c r="F118"/>
  <c r="G118" s="1"/>
  <c r="F76"/>
  <c r="F64"/>
  <c r="F126" l="1"/>
  <c r="F124"/>
  <c r="F122"/>
  <c r="F119"/>
  <c r="F115"/>
  <c r="F111"/>
  <c r="F106"/>
  <c r="F101"/>
  <c r="F95"/>
  <c r="F93"/>
  <c r="F91"/>
  <c r="F84"/>
  <c r="F82"/>
  <c r="F78"/>
  <c r="F73"/>
  <c r="F71"/>
  <c r="F66"/>
  <c r="F58"/>
  <c r="F56"/>
  <c r="F51"/>
  <c r="F46"/>
  <c r="F41"/>
  <c r="F38"/>
  <c r="F36"/>
  <c r="F34"/>
  <c r="F30"/>
  <c r="F25"/>
  <c r="F16"/>
  <c r="F14"/>
  <c r="F12"/>
  <c r="F8"/>
  <c r="F77" l="1"/>
  <c r="F121"/>
  <c r="F29"/>
  <c r="F100"/>
  <c r="F40"/>
  <c r="F61"/>
  <c r="F60" s="1"/>
  <c r="F86"/>
  <c r="F7" l="1"/>
  <c r="E114"/>
  <c r="G114" s="1"/>
  <c r="E109"/>
  <c r="G109" s="1"/>
  <c r="E110"/>
  <c r="G110" s="1"/>
  <c r="E90"/>
  <c r="G90" s="1"/>
  <c r="D89"/>
  <c r="E89" s="1"/>
  <c r="D106"/>
  <c r="D103"/>
  <c r="E103" s="1"/>
  <c r="D69"/>
  <c r="D66" s="1"/>
  <c r="D68"/>
  <c r="D64"/>
  <c r="D63"/>
  <c r="D75"/>
  <c r="D73" s="1"/>
  <c r="D32"/>
  <c r="E127"/>
  <c r="G127" s="1"/>
  <c r="E125"/>
  <c r="E117"/>
  <c r="E113"/>
  <c r="G113" s="1"/>
  <c r="E108"/>
  <c r="G108" s="1"/>
  <c r="E97"/>
  <c r="G97" s="1"/>
  <c r="E92"/>
  <c r="G92" s="1"/>
  <c r="E88"/>
  <c r="G88" s="1"/>
  <c r="E85"/>
  <c r="G85" s="1"/>
  <c r="E83"/>
  <c r="E72"/>
  <c r="G72" s="1"/>
  <c r="E59"/>
  <c r="G59" s="1"/>
  <c r="E57"/>
  <c r="G57" s="1"/>
  <c r="E54"/>
  <c r="G54" s="1"/>
  <c r="E49"/>
  <c r="G49" s="1"/>
  <c r="E33"/>
  <c r="G33" s="1"/>
  <c r="E28"/>
  <c r="E27"/>
  <c r="G27" s="1"/>
  <c r="E23"/>
  <c r="E21" s="1"/>
  <c r="E19"/>
  <c r="G19" s="1"/>
  <c r="E18"/>
  <c r="E15"/>
  <c r="G15" s="1"/>
  <c r="E13"/>
  <c r="E84"/>
  <c r="D126"/>
  <c r="D124"/>
  <c r="D122"/>
  <c r="D119"/>
  <c r="D115"/>
  <c r="D111"/>
  <c r="D101"/>
  <c r="D95"/>
  <c r="D93"/>
  <c r="D91"/>
  <c r="D86"/>
  <c r="D84"/>
  <c r="D82"/>
  <c r="D78"/>
  <c r="D71"/>
  <c r="D61"/>
  <c r="D58"/>
  <c r="D56"/>
  <c r="D51"/>
  <c r="D46"/>
  <c r="D41"/>
  <c r="D38"/>
  <c r="D36"/>
  <c r="D34"/>
  <c r="D30"/>
  <c r="D25"/>
  <c r="D21"/>
  <c r="D16"/>
  <c r="D14"/>
  <c r="D12"/>
  <c r="D8"/>
  <c r="E56" l="1"/>
  <c r="E126"/>
  <c r="E95"/>
  <c r="G14"/>
  <c r="G91"/>
  <c r="G71"/>
  <c r="G111"/>
  <c r="G58"/>
  <c r="G126"/>
  <c r="G56"/>
  <c r="G84"/>
  <c r="G95"/>
  <c r="G18"/>
  <c r="E16"/>
  <c r="E71"/>
  <c r="E58"/>
  <c r="E111"/>
  <c r="E14"/>
  <c r="E25"/>
  <c r="G28"/>
  <c r="D29"/>
  <c r="E91"/>
  <c r="E12"/>
  <c r="G13"/>
  <c r="G23"/>
  <c r="E82"/>
  <c r="G83"/>
  <c r="E124"/>
  <c r="G125"/>
  <c r="E106"/>
  <c r="G106"/>
  <c r="E86"/>
  <c r="G89"/>
  <c r="E101"/>
  <c r="G103"/>
  <c r="E115"/>
  <c r="G117"/>
  <c r="D121"/>
  <c r="D100"/>
  <c r="D77"/>
  <c r="D60"/>
  <c r="D40"/>
  <c r="D7" l="1"/>
  <c r="G16"/>
  <c r="E100"/>
  <c r="G124"/>
  <c r="G21"/>
  <c r="G115"/>
  <c r="G86"/>
  <c r="G82"/>
  <c r="G25"/>
  <c r="G101"/>
  <c r="G100" s="1"/>
  <c r="G12"/>
  <c r="E63" l="1"/>
  <c r="G63" s="1"/>
  <c r="E76"/>
  <c r="G76" s="1"/>
  <c r="E94"/>
  <c r="G94" s="1"/>
  <c r="E39"/>
  <c r="E38" s="1"/>
  <c r="E37"/>
  <c r="E36" s="1"/>
  <c r="E53"/>
  <c r="E64"/>
  <c r="E81"/>
  <c r="G81" s="1"/>
  <c r="E48"/>
  <c r="G48" s="1"/>
  <c r="E75"/>
  <c r="E80"/>
  <c r="G80" s="1"/>
  <c r="E123"/>
  <c r="E122" s="1"/>
  <c r="E121" s="1"/>
  <c r="E35"/>
  <c r="E34" s="1"/>
  <c r="E43"/>
  <c r="G43" s="1"/>
  <c r="E69"/>
  <c r="G69" s="1"/>
  <c r="E68"/>
  <c r="G68" s="1"/>
  <c r="E120"/>
  <c r="E119" s="1"/>
  <c r="G64"/>
  <c r="E32"/>
  <c r="G53"/>
  <c r="E51"/>
  <c r="E66"/>
  <c r="E10"/>
  <c r="G123" l="1"/>
  <c r="G122" s="1"/>
  <c r="G121" s="1"/>
  <c r="E93"/>
  <c r="G37"/>
  <c r="G36" s="1"/>
  <c r="E46"/>
  <c r="G39"/>
  <c r="E73"/>
  <c r="G120"/>
  <c r="G119" s="1"/>
  <c r="E61"/>
  <c r="E41"/>
  <c r="E78"/>
  <c r="E77" s="1"/>
  <c r="G75"/>
  <c r="G61"/>
  <c r="G35"/>
  <c r="G78"/>
  <c r="G77" s="1"/>
  <c r="G66"/>
  <c r="G93"/>
  <c r="G41"/>
  <c r="G38"/>
  <c r="G46"/>
  <c r="G51"/>
  <c r="G10"/>
  <c r="E8"/>
  <c r="E30"/>
  <c r="E29" s="1"/>
  <c r="G32"/>
  <c r="E40" l="1"/>
  <c r="E7" s="1"/>
  <c r="E60"/>
  <c r="G73"/>
  <c r="G60" s="1"/>
  <c r="G34"/>
  <c r="G40"/>
  <c r="G30"/>
  <c r="G8"/>
  <c r="G7" l="1"/>
  <c r="G29"/>
</calcChain>
</file>

<file path=xl/sharedStrings.xml><?xml version="1.0" encoding="utf-8"?>
<sst xmlns="http://schemas.openxmlformats.org/spreadsheetml/2006/main" count="248" uniqueCount="141">
  <si>
    <t>02</t>
  </si>
  <si>
    <t>03</t>
  </si>
  <si>
    <t>04</t>
  </si>
  <si>
    <t>06</t>
  </si>
  <si>
    <t>Наименование</t>
  </si>
  <si>
    <t>Целевая статья</t>
  </si>
  <si>
    <t>в том числе:</t>
  </si>
  <si>
    <t>в том числе средства местного бюджета</t>
  </si>
  <si>
    <t>средства местного бюджета</t>
  </si>
  <si>
    <t>средства краевого бюджета</t>
  </si>
  <si>
    <t>средства федерального бюджета</t>
  </si>
  <si>
    <t>Подпрограмма "Дошкольное образование"</t>
  </si>
  <si>
    <t>00 0 0000</t>
  </si>
  <si>
    <t>Отдельные мероприятия программы</t>
  </si>
  <si>
    <t>Подпрограмма "Дорожная деятельность Партизанского городского округа"</t>
  </si>
  <si>
    <t>Подпрограмма "Благоустройство Партизанского городского округа"</t>
  </si>
  <si>
    <t>Подпрограмма "Общее образование"</t>
  </si>
  <si>
    <t>Подпрограмма "Развитие муниципальной службы в Партизанском городском округе"</t>
  </si>
  <si>
    <t>Подпрограмма "Противодействие коррупции в Партизанском городском округе"</t>
  </si>
  <si>
    <t>Подпрограмма "Обеспечение первичных мер пожарной безопасности на территории Партизанского городского округа"</t>
  </si>
  <si>
    <t>Подпрограмма "Дополнительное образование"</t>
  </si>
  <si>
    <t>ВСЕГО</t>
  </si>
  <si>
    <t>99 9 00 00000</t>
  </si>
  <si>
    <t>Подпрограмма "Организация предоставления дополнительного образования в сфере культуры и искусства"</t>
  </si>
  <si>
    <t>Подпрограмма "Организация библиотечного обслуживания населения"</t>
  </si>
  <si>
    <t>Подпрограмма "Организация досуга и предоставление услуг учреждений культуры"</t>
  </si>
  <si>
    <t>Подпрограмма "Сохранение и популяризация объектов культурного наследия Партизанского городского округа"</t>
  </si>
  <si>
    <t>16 0 0000</t>
  </si>
  <si>
    <t>16 1 0000</t>
  </si>
  <si>
    <t>16 2 0000</t>
  </si>
  <si>
    <t>16 9 0000</t>
  </si>
  <si>
    <t>МУНИЦИПАЛЬНАЯ ПРОГРАММА "ДОРОЖНАЯ ДЕЯТЕЛЬНОСТЬ И БЛАГОУСТРОЙСТВО ПАРТИЗАНСКОГО ГОРОДСКОГО ОКРУГА" НА 2017-2021 ГОДЫ</t>
  </si>
  <si>
    <t>15 0 0000</t>
  </si>
  <si>
    <t>15 1 0000</t>
  </si>
  <si>
    <t>15 2 0000</t>
  </si>
  <si>
    <t>15 3 0000</t>
  </si>
  <si>
    <t>15 9 0000</t>
  </si>
  <si>
    <t>14 0 0000</t>
  </si>
  <si>
    <t>14 1 0000</t>
  </si>
  <si>
    <t>14 2 0000</t>
  </si>
  <si>
    <t>14 3 0000</t>
  </si>
  <si>
    <t>14 9 0000</t>
  </si>
  <si>
    <t>14 4 0000</t>
  </si>
  <si>
    <t>11 0 0000</t>
  </si>
  <si>
    <t>11 1 0000</t>
  </si>
  <si>
    <t>11 2 0000</t>
  </si>
  <si>
    <t>12 0 0000</t>
  </si>
  <si>
    <t>13 0 0000</t>
  </si>
  <si>
    <t>17 0 0000</t>
  </si>
  <si>
    <t>МУНИЦИПАЛЬНАЯ ПРОГРАММА "РАЗВИТИЕ ИНФОРМАЦИОННО-КОММУНИКАЦИОННЫХ ТЕХНОЛОГИЙ ОРГАНОВ МЕСТНОГО САМОУПРАВЛЕНИЯ ПАРТИЗАНСКОГО ГОРОДСКОГО ОКРУГА" НА 2017-2021 ГОДЫ</t>
  </si>
  <si>
    <t>19 0 0000</t>
  </si>
  <si>
    <t>20 0 0000</t>
  </si>
  <si>
    <t>МУНИЦИПАЛЬНАЯ ПРОГРАММА "ОБЕСПЕЧЕНИЕ БЛАГОПРИЯТНОЙ ОКРУЖАЮЩЕЙ СРЕДЫ И ЭКОЛОГИЧЕСКОЙ БЕЗОПАСНОСТИ НА ТЕРРИТОРИИ ПАРТИЗАНСКОГО ГОРОДСКОГО ОКРУГА" НА 2017-2021 ГОДЫ</t>
  </si>
  <si>
    <t>МУНИЦИПАЛЬНАЯ ПРОГРАММА "СОДЕЙСТВИЕ РАЗВИТИЮ МАЛОГО И СРЕДНЕГО ПРЕДПРИНИМАТЕЛЬСТВА В ПАРТИЗАНСКОМ ГОРОДСКОМ ОКРУГЕ" НА 2018 – 2022 ГОДЫ</t>
  </si>
  <si>
    <t>22 0 0000</t>
  </si>
  <si>
    <t>в том числе  средства местного бюджета</t>
  </si>
  <si>
    <t>МУНИЦИПАЛЬНАЯ ПРОГРАММА "РАЗВИТИЕ ФИЗИЧЕСКОЙ КУЛЬТУРЫ И СПОРТА ПАРТИЗАНСКОГО ГОРОДСКОГО ОКРУГА" НА 2018 – 2022 ГОДЫ</t>
  </si>
  <si>
    <t>23 0 00</t>
  </si>
  <si>
    <t>24 0 00</t>
  </si>
  <si>
    <t>23 1 00</t>
  </si>
  <si>
    <t>23 2 00</t>
  </si>
  <si>
    <t>26 1 00</t>
  </si>
  <si>
    <t>26 2 00</t>
  </si>
  <si>
    <t>МУНИЦИПАЛЬНАЯ ПРОГРАММА "УПРАВЛЕНИЕ МУНИЦИПАЛЬНЫМ ИМУЩЕСТВОМ И ЗЕМЕЛЬНЫМИ РЕСУРСАМИ ПАРТИЗАНСКОГО ГОРОДСКОГО ОКРУГА НА  2019-2023 ГОДЫ</t>
  </si>
  <si>
    <t>ВЕДОМСТВЕННАЯ ЦЕЛЕВАЯ ПРОГРАММА "РЕАЛИЗАЦИЯ МОЛОДЕЖНОЙ ПОЛИТИКИ В ПАРТИЗАНСКОМ ГОРОДСКОМ ОКРУГЕ" НА 2019 - 2021 ГОДЫ</t>
  </si>
  <si>
    <t>МУНИЦИПАЛЬНАЯ ПРОГРАММА "ФОРМИРОВАНИЕ СОВРЕМЕННОЙ ГОРОДСКОЙ СРЕДЫ ПАРТИЗАНСКОГО ГОРОДСКОГО ОКРУГА" НА 2018 – 2024 ГОДЫ</t>
  </si>
  <si>
    <t>23 3</t>
  </si>
  <si>
    <t>Подпрограмма "Благоустройство дворовых территорий Партизанского городского округа" на 2018 – 2024 годы</t>
  </si>
  <si>
    <t>Подпрограмма "Благоустройство территорий общественного пользования Партизанского городского округа" на 2018 – 2024 годы</t>
  </si>
  <si>
    <t>Подпрограмма "Благоустройство территорий, детских и спортивных площадок Партизанского городского округа" на 2019-2024</t>
  </si>
  <si>
    <t>МУНИЦИПАЛЬНАЯ ПРОГРАММА "СОДЕЙСТВИЕ ГРАЖДАНАМ В ПРИОБРЕТЕНИИ (СТРОИТЕЛЬСТВЕ) ЖИЛЬЯ ВЗАМЕН СНОСИМОГО ВЕТХОГО, СТАВШЕГО НЕПРИГОДНЫМ ДЛЯ ПРОЖИВАНИЯ ПО КРИТЕРИЯМ БЕЗОПАСНОСТИ В РЕЗУЛЬТАТЕ ВЕДЕНИЯ ГОРНЫХ РАБОТ НА ЛИКВИДИРОВАННЫХ УГОЛЬНЫХ ШАХТАХ ПАРТИЗАНСКОГО ГОРОДСКОГО ОКРУГА" НА 2020-2025 ГОДЫ</t>
  </si>
  <si>
    <t xml:space="preserve">01 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</si>
  <si>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НА 2020 – 2025 ГОДЫ</t>
  </si>
  <si>
    <t>МУНИЦИПАЛЬНАЯ ПРОГРАММА "ФОРМИРОВАНИЕ МУНИЦИПАЛЬНОГО ЖИЛИЩНОГО ФОНДА ПАРТИЗАНСКОГО ГОРОДСКОГО ОКРУГА" НА 2020-2025 ГОДЫ</t>
  </si>
  <si>
    <t>МУНИЦИПАЛЬНАЯ ПРОГРАММА "ПЕРЕСЕЛЕНИЕ ГРАЖДАН ИЗ АВАРИЙНОГО ЖИЛИЩНОГО ФОНДА, ПРОЖИВАЮЩИХ НА ТЕРРИТОРИИ ПАРТИЗАНСКОГО ГОРОДСКОГО ОКРУГА" НА 2019-2025 ГОДЫ</t>
  </si>
  <si>
    <t>МУНИЦИПАЛЬНАЯ ПРОГРАММА "ОРГАНИЗАЦИЯ ОБЕСПЕЧЕНИЯ НАСЕЛЕНИЯ ТВЕРДЫМ ТОПЛИВОМ ПО ПРЕДЕЛЬНЫМ ЦЕНАМ НА ТЕРРИТОРИИ ПАРТИЗАНСКОГО ГОРОДСКОГО ОКРУГА" НА 2020-2024 ГОДЫ</t>
  </si>
  <si>
    <t>МУНИЦИПАЛЬНАЯ ПРОГРАММА "РАЗВИТИЕ И ПОВЫШЕНИЕ ЭФФЕКТИВНОСТИ КОММУНАЛЬНОЙ ИНФРАСТРУКТУРЫ ПАРТИЗАНСКОГО ГОРОДСКОГО ОКРУГА" НА 2020-2024 ГОДЫ</t>
  </si>
  <si>
    <t>МУНИЦИПАЛЬНАЯ ПРОГРАММА "ЗАЩИТА НАСЕЛЕНИЯ И ТЕРРИТОРИИ ПАРТИЗАНСКОГО ГОРОДСКОГО ОКРУГА ОТ ЧРЕЗВЫЧАЙНЫХ СИТУАЦИЙ" НА 2020-2024 ГОДЫ</t>
  </si>
  <si>
    <t>Подпрограмма "Обеспечение организации гражданской обороны, предупреждение и ликвидация последствий чрезвычайных ситуаций природного и техногенного характера на территории Партизанского городского округа"</t>
  </si>
  <si>
    <t>МУНИЦИПАЛЬНАЯ ПРОГРАММА "ПРОФИЛАКТИКА ТЕРРОРИЗМА И ЭКСТРЕМИЗМА НА ТЕРРИТОРИИ ПАРТИЗАНСКОГО ГОРОДСКОГО ОКРУГА" НА 2020-2024 ГОДЫ</t>
  </si>
  <si>
    <t xml:space="preserve">25 0 00 </t>
  </si>
  <si>
    <t>26 0 00</t>
  </si>
  <si>
    <t xml:space="preserve">05 </t>
  </si>
  <si>
    <t xml:space="preserve">средства Фонда содействия реформированию жилищно-коммунального хозяйства
</t>
  </si>
  <si>
    <t>Сравнение  первоначального плана и исполнения</t>
  </si>
  <si>
    <t>Сравнение  уточненного плана и исполнения</t>
  </si>
  <si>
    <t>Сумма</t>
  </si>
  <si>
    <t>%</t>
  </si>
  <si>
    <t xml:space="preserve">увеличение расходов за счет выделения межбюджетных субсидий из краевого бюджета на переселение граждан из аварийного жилищного фонда </t>
  </si>
  <si>
    <t>увеличение расходов за счет выделения межбюджетных субсидий из краевого бюджета на обеспечение граждан твердым топливом</t>
  </si>
  <si>
    <t xml:space="preserve">экономия по результатам аукционов на  проектирование строительства водозабора «Северный» на реке Партизанская для водоснабжения села Углекаменск </t>
  </si>
  <si>
    <t>экономия по результатам аукциона на проведение проектно-изыскательских работ по объекту «Реконструкция гидротехнического сооружения – защитной дамбы по левому берегу р.Постышевка»</t>
  </si>
  <si>
    <t xml:space="preserve">экономия по результатам аукциона на производство лесоустройства городских лесов и разработку лесохозяйственного регламента Партизанского городского округа </t>
  </si>
  <si>
    <t>уменьшение расходов за счет  сокращения субвенций из краевого бюджета на реализацию общеобразовательных программ</t>
  </si>
  <si>
    <t xml:space="preserve">увеличение расходов в целях оказания социальной поддержки членов добровольных народных дружин </t>
  </si>
  <si>
    <t>увеличение расходов за счет выделения средств из дорожного фонда Приморского края  на ремонт автомобильных дорог</t>
  </si>
  <si>
    <t>увеличение расходов за счет выделения межбюджетных субсидий из федерального бюджета на условиях софинансирования</t>
  </si>
  <si>
    <t>экономия по результатам конкурсных процедур</t>
  </si>
  <si>
    <t xml:space="preserve">увеличение расходов за счет выделения межбюджетных субсидий из вышестоящих бюджетов на создание комфортной городской среды </t>
  </si>
  <si>
    <t xml:space="preserve">увеличение расходов за счет перевода МБУ «Спортивная школа  «Сучан»  из учреждения дополнительного образования в учреждение спорта  </t>
  </si>
  <si>
    <t>сокращение расходов  в связи с  проведением запланированных семинаров в дистанционном виде в период пандемии, что привело к уменьшению стоимости услуг обучения.</t>
  </si>
  <si>
    <t xml:space="preserve">увеличение расходов на приобретение жилых помещений в муниципальную собственность для дальнейшего предоставления нуждающимся гражданам. </t>
  </si>
  <si>
    <t>Пояснение различий между первоначально утвержденным планом и исполнением</t>
  </si>
  <si>
    <t>Исполнение</t>
  </si>
  <si>
    <t>(рублей)</t>
  </si>
  <si>
    <t>Первоначально утвержденные значения, решение Думы ПГО  
№ 205-Р 29.12.2020</t>
  </si>
  <si>
    <t>Изменения январь</t>
  </si>
  <si>
    <t>Решение Думы ПГО  о внесении изменений в бюджет
№ 182-Р от 31.01.2020</t>
  </si>
  <si>
    <t>Изменения май</t>
  </si>
  <si>
    <t>Решение Думы ПГО  о внесении изменений в бюджет
№ 196-Р 14.05.2020</t>
  </si>
  <si>
    <t>Изменения декабрь</t>
  </si>
  <si>
    <t>Уточненные значения в редакции решения Думы ПГО  о внесении изменений в бюджет
№ 317-Р 08.12.2021</t>
  </si>
  <si>
    <t>МУНИЦИПАЛЬНАЯ ПРОГРАММА "УКРЕПЛЕНИЕ ОБЩЕСТВЕННОГО ЗДОРОВЬЯ НАСЕЛЕНИЯ ПАРТИЗАНСКОГО ГОРОДСКОГО ОКРУГА" на 2021-2024 годы</t>
  </si>
  <si>
    <t>07</t>
  </si>
  <si>
    <t>МУНИЦИПАЛЬНАЯ ПРОГРАММА "СОХРАНЕНИЕ ВНЕШНЕГО ИСТОРИКО-АРХИТЕКТУРНОГО ОБЛИКА ЗДАНИЙ, СООРУЖЕНИЙ ПАРТИЗАНСКОГО ГОРОДСКОГО ОКРУГА" на 2021-2025 годы</t>
  </si>
  <si>
    <t>08</t>
  </si>
  <si>
    <t>МУНИЦИПАЛЬНАЯ ПРОГРАММА "ОБЕСПЕЧЕНИЕ БЛАГОПРИЯТНОЙ ОКРУЖАЮЩЕЙ СРЕДЫ И ЭКОЛОГИЧЕСКОЙ БЕЗОПАСНОСТИ НА ТЕРРИТОРИИ ПАРТИЗАНСКОГО ГОРОДСКОГО ОКРУГА" НА 2022-2026 ГОДЫ</t>
  </si>
  <si>
    <t>МУНИЦИПАЛЬНАЯ ПРОГРАММА "КУЛЬТУРА ПАРТИЗАНСКОГО ГОРОДСКОГО ОКРУГА" НА 2017-2021 ГОДЫ</t>
  </si>
  <si>
    <t>МУНИЦИПАЛЬНАЯ ПРОГРАММА "ОБРАЗОВАНИЕ ПАРТИЗАНСКОГО ГОРОДСКОГО ОКРУГА" НА 2020-2024 ГОДЫ</t>
  </si>
  <si>
    <t>МУНИЦИПАЛЬНАЯ ПРОГРАММА "ДОРОЖНАЯ ДЕЯТЕЛЬНОСТЬ И БЛАГОУСТРОЙСТВО ПАРТИЗАНСКОГО ГОРОДСКОГО ОКРУГА" НА 2022-2026 ГОДЫ</t>
  </si>
  <si>
    <t>МУНИЦИПАЛЬНАЯ ПРОГРАММА "ОБЕСПЕЧЕНИЕ ЖИЛЬЕМ МОЛОДЫХ СЕМЕЙ ПАРТИЗАНСКОГО ГОРОДСКОГО ОКРУГА" НА 2021-2025 ГОДЫ</t>
  </si>
  <si>
    <t>МУНИЦИПАЛЬНАЯ ПРОГРАММА "ОБЕСПЕЧЕНИЕ ГРАДОСТРОИТЕЛЬНОЙ ДЕЯТЕЛЬНОСТИ НА ТЕРРИТОРИИ ПАРТИЗАНСКОГО ГОРОДСКОГО ОКРУГА" НА 2021-2023 ГОДЫ</t>
  </si>
  <si>
    <t>МУНИЦИПАЛЬНАЯ ПРОГРАММА "ПОВЫШЕНИЕ ЭФФЕКТИВНОСТИ ДЕЯТЕЛЬНОСТИ ОРГАНОВ МЕСТНОГО САМОУПРАВЛЕНИЯ ПАРТИЗАНСКОГО ГОРОДСКОГО ОКРУГА" НА 2019-2023 ГОДЫ</t>
  </si>
  <si>
    <t>Сведения о фактически произведенных расходах Партизанского городского округа в 2021 году на реализацию муниципальных программ</t>
  </si>
  <si>
    <t>--</t>
  </si>
  <si>
    <t>увеличение расходов на приобретение жилых помещений в муниципальную собственность для дальнейшего предоставления гражданам</t>
  </si>
  <si>
    <t>сокращение расходов в связи  с отсутствием софинансирования из краевого бюджета на данные цели.</t>
  </si>
  <si>
    <t>увеличение расходов на обеспечение антитеррористической защищенности учреждений образования и культуры</t>
  </si>
  <si>
    <t>увеличение расходов на обеспечение круглосуточной охраны и обслуживание тревожной кнопки образовательных учреждений, ремонт и противопожарные мероприятия</t>
  </si>
  <si>
    <t>увеличение расходов за счет выделения межбюджетных субсидий из краевого бюджета на ремонт дорог, за счет местного бюджета на содержание, ремонт дорог, благоустройство территории, озеленение, ремонт сетей уличного освещения</t>
  </si>
  <si>
    <t xml:space="preserve">увеличение расходов за счет выделения межбюджетных субсидий из краевого бюджета на социальные выплаты молодым семьям для приобретения (строительства) стандартного жилья </t>
  </si>
  <si>
    <t>увеличение расходов в целях обновления компьютерного оборудования и оргтехники</t>
  </si>
  <si>
    <t xml:space="preserve">сокращение расходов в связи с экономией по результатам аукционов </t>
  </si>
  <si>
    <t>увеличение расходов за счет выделения межбюджетных субсидий из краевого бюджета на реализацию программ формирование современной городской среды и благоустройство территории</t>
  </si>
  <si>
    <t>увеличение расходов в связи с индексацией заработной платы, приобретением спортивного инвентаря</t>
  </si>
  <si>
    <t>сокращение расходов в связи с экономией по результатам аукционов</t>
  </si>
  <si>
    <t>увеличение расходов за счет выделения межбюджетных субвенций из краевого бюджета  на обеспечение детей-сирот жилыми помещениями</t>
  </si>
  <si>
    <t>увеличение расходов в связи с индексацией заработной платы работников муниципальных учреждений</t>
  </si>
  <si>
    <t>увеличение расходов в связи с индексацией заработной платы работников муниципальных учреждений, с ростом прогнозного значения среднемесячной заработной платы, проведением противопожарных мероприятий</t>
  </si>
  <si>
    <t>увеличение расходов на выполнение ремонтных работ сетей канализации</t>
  </si>
  <si>
    <t>сокращение расходов на сумму свободного остатка лимитов после проведения работ по признанию домов, непригодными для проживания, осуществление выплат на предоставление жилья взамен ставшего непригодным в пределах фактической потребности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</si>
</sst>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Arial Cyr"/>
      <charset val="204"/>
    </font>
    <font>
      <sz val="14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5" fillId="32" borderId="9" applyNumberFormat="0" applyFon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49" fontId="1" fillId="33" borderId="0" xfId="0" applyNumberFormat="1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49" fontId="2" fillId="33" borderId="2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3" fillId="33" borderId="0" xfId="0" applyNumberFormat="1" applyFont="1" applyFill="1"/>
    <xf numFmtId="49" fontId="1" fillId="33" borderId="1" xfId="0" applyNumberFormat="1" applyFont="1" applyFill="1" applyBorder="1" applyAlignment="1">
      <alignment horizontal="center" wrapText="1"/>
    </xf>
    <xf numFmtId="4" fontId="23" fillId="0" borderId="1" xfId="0" applyNumberFormat="1" applyFont="1" applyFill="1" applyBorder="1" applyAlignment="1">
      <alignment horizontal="center" wrapText="1"/>
    </xf>
    <xf numFmtId="49" fontId="22" fillId="33" borderId="1" xfId="0" applyNumberFormat="1" applyFont="1" applyFill="1" applyBorder="1" applyAlignment="1">
      <alignment horizontal="center" wrapText="1"/>
    </xf>
    <xf numFmtId="4" fontId="1" fillId="35" borderId="1" xfId="0" applyNumberFormat="1" applyFont="1" applyFill="1" applyBorder="1" applyAlignment="1">
      <alignment horizontal="center" wrapText="1"/>
    </xf>
    <xf numFmtId="0" fontId="1" fillId="35" borderId="0" xfId="0" applyFont="1" applyFill="1"/>
    <xf numFmtId="4" fontId="23" fillId="35" borderId="1" xfId="0" applyNumberFormat="1" applyFont="1" applyFill="1" applyBorder="1" applyAlignment="1">
      <alignment horizontal="center" wrapText="1"/>
    </xf>
    <xf numFmtId="0" fontId="3" fillId="35" borderId="0" xfId="0" applyFont="1" applyFill="1"/>
    <xf numFmtId="10" fontId="1" fillId="0" borderId="0" xfId="42" applyNumberFormat="1" applyFont="1" applyFill="1"/>
    <xf numFmtId="10" fontId="1" fillId="0" borderId="1" xfId="42" applyNumberFormat="1" applyFont="1" applyFill="1" applyBorder="1" applyAlignment="1">
      <alignment horizontal="center" wrapText="1"/>
    </xf>
    <xf numFmtId="10" fontId="2" fillId="0" borderId="1" xfId="42" applyNumberFormat="1" applyFont="1" applyFill="1" applyBorder="1" applyAlignment="1">
      <alignment horizontal="center" wrapText="1"/>
    </xf>
    <xf numFmtId="10" fontId="23" fillId="0" borderId="1" xfId="42" applyNumberFormat="1" applyFont="1" applyFill="1" applyBorder="1" applyAlignment="1">
      <alignment horizontal="center" wrapText="1"/>
    </xf>
    <xf numFmtId="10" fontId="3" fillId="0" borderId="0" xfId="42" applyNumberFormat="1" applyFont="1" applyFill="1"/>
    <xf numFmtId="49" fontId="22" fillId="34" borderId="1" xfId="0" applyNumberFormat="1" applyFont="1" applyFill="1" applyBorder="1" applyAlignment="1">
      <alignment horizontal="center" wrapText="1"/>
    </xf>
    <xf numFmtId="0" fontId="26" fillId="0" borderId="0" xfId="0" applyFont="1" applyFill="1"/>
    <xf numFmtId="0" fontId="1" fillId="0" borderId="1" xfId="0" applyFont="1" applyBorder="1" applyAlignment="1">
      <alignment horizontal="justify" wrapText="1"/>
    </xf>
    <xf numFmtId="49" fontId="1" fillId="33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0" fontId="1" fillId="0" borderId="1" xfId="42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justify" wrapText="1"/>
    </xf>
    <xf numFmtId="0" fontId="2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2" fillId="0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10" fontId="1" fillId="0" borderId="1" xfId="42" quotePrefix="1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10" fontId="1" fillId="0" borderId="1" xfId="42" applyNumberFormat="1" applyFont="1" applyBorder="1" applyAlignment="1">
      <alignment wrapText="1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0" fontId="1" fillId="0" borderId="1" xfId="42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1" xfId="0" applyFont="1" applyFill="1" applyBorder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Процентный" xfId="4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150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M2" sqref="M1:M1048576"/>
    </sheetView>
  </sheetViews>
  <sheetFormatPr defaultRowHeight="15"/>
  <cols>
    <col min="1" max="1" width="63.42578125" style="4" customWidth="1"/>
    <col min="2" max="2" width="11.28515625" style="11" hidden="1" customWidth="1"/>
    <col min="3" max="3" width="21.5703125" style="4" customWidth="1"/>
    <col min="4" max="4" width="18.7109375" style="18" hidden="1" customWidth="1"/>
    <col min="5" max="5" width="18.7109375" style="4" hidden="1" customWidth="1"/>
    <col min="6" max="6" width="18.7109375" style="18" hidden="1" customWidth="1"/>
    <col min="7" max="7" width="18.7109375" style="4" hidden="1" customWidth="1"/>
    <col min="8" max="8" width="17.28515625" style="18" hidden="1" customWidth="1"/>
    <col min="9" max="9" width="24" style="4" customWidth="1"/>
    <col min="10" max="11" width="18.7109375" style="4" customWidth="1"/>
    <col min="12" max="12" width="18.7109375" style="23" customWidth="1"/>
    <col min="13" max="13" width="44.140625" style="4" customWidth="1"/>
    <col min="14" max="14" width="18.7109375" style="4" customWidth="1"/>
    <col min="15" max="15" width="18.7109375" style="23" customWidth="1"/>
    <col min="16" max="16384" width="9.140625" style="4"/>
  </cols>
  <sheetData>
    <row r="1" spans="1:15" s="1" customFormat="1" ht="25.5" customHeight="1">
      <c r="A1" s="38" t="s">
        <v>123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15.75" hidden="1">
      <c r="B2" s="2"/>
      <c r="D2" s="16"/>
      <c r="F2" s="16"/>
      <c r="H2" s="16"/>
      <c r="K2" s="1" t="s">
        <v>86</v>
      </c>
      <c r="L2" s="19" t="s">
        <v>87</v>
      </c>
      <c r="N2" s="1" t="s">
        <v>86</v>
      </c>
      <c r="O2" s="19" t="s">
        <v>87</v>
      </c>
    </row>
    <row r="3" spans="1:15" s="1" customFormat="1" ht="15.75" hidden="1">
      <c r="B3" s="2"/>
      <c r="D3" s="16"/>
      <c r="F3" s="16"/>
      <c r="H3" s="16"/>
      <c r="L3" s="19"/>
      <c r="O3" s="19"/>
    </row>
    <row r="4" spans="1:15" s="1" customFormat="1" ht="15.75">
      <c r="B4" s="2"/>
      <c r="D4" s="16"/>
      <c r="F4" s="16"/>
      <c r="H4" s="16"/>
      <c r="L4" s="19"/>
      <c r="O4" s="19" t="s">
        <v>104</v>
      </c>
    </row>
    <row r="5" spans="1:15" s="29" customFormat="1" ht="41.25" customHeight="1">
      <c r="A5" s="41" t="s">
        <v>4</v>
      </c>
      <c r="B5" s="27" t="s">
        <v>5</v>
      </c>
      <c r="C5" s="45">
        <v>2021</v>
      </c>
      <c r="D5" s="46"/>
      <c r="E5" s="46"/>
      <c r="F5" s="46"/>
      <c r="G5" s="46"/>
      <c r="H5" s="46"/>
      <c r="I5" s="47"/>
      <c r="J5" s="43" t="s">
        <v>103</v>
      </c>
      <c r="K5" s="39" t="s">
        <v>84</v>
      </c>
      <c r="L5" s="40"/>
      <c r="M5" s="43" t="s">
        <v>102</v>
      </c>
      <c r="N5" s="39" t="s">
        <v>85</v>
      </c>
      <c r="O5" s="40"/>
    </row>
    <row r="6" spans="1:15" s="29" customFormat="1" ht="100.5" customHeight="1">
      <c r="A6" s="42"/>
      <c r="B6" s="27"/>
      <c r="C6" s="32" t="s">
        <v>105</v>
      </c>
      <c r="D6" s="33" t="s">
        <v>106</v>
      </c>
      <c r="E6" s="33" t="s">
        <v>107</v>
      </c>
      <c r="F6" s="33" t="s">
        <v>108</v>
      </c>
      <c r="G6" s="33" t="s">
        <v>109</v>
      </c>
      <c r="H6" s="33" t="s">
        <v>110</v>
      </c>
      <c r="I6" s="32" t="s">
        <v>111</v>
      </c>
      <c r="J6" s="44"/>
      <c r="K6" s="28" t="s">
        <v>86</v>
      </c>
      <c r="L6" s="30" t="s">
        <v>87</v>
      </c>
      <c r="M6" s="44"/>
      <c r="N6" s="28" t="s">
        <v>86</v>
      </c>
      <c r="O6" s="30" t="s">
        <v>87</v>
      </c>
    </row>
    <row r="7" spans="1:15" s="8" customFormat="1" ht="15.75">
      <c r="A7" s="5" t="s">
        <v>21</v>
      </c>
      <c r="B7" s="6" t="s">
        <v>12</v>
      </c>
      <c r="C7" s="7">
        <f>C8+C12+C16+C18+C23+C27+C34+C39+C46+C50+C52+C72+C91+C109+C114+C116+C118+C123+C138+C142+C144+C149+C32</f>
        <v>879954717.33000004</v>
      </c>
      <c r="D7" s="7">
        <f t="shared" ref="D7:N7" si="0">D8+D12+D14+D16+D21+D25+D29+D36+D38+D40+D60+D77+D86+D91+D93+D95+D100+D115+D119+D121+D126</f>
        <v>30272487.640000008</v>
      </c>
      <c r="E7" s="7">
        <f t="shared" si="0"/>
        <v>1466758338.97</v>
      </c>
      <c r="F7" s="7">
        <f t="shared" si="0"/>
        <v>170316870.88000003</v>
      </c>
      <c r="G7" s="7">
        <f t="shared" si="0"/>
        <v>1637075209.8499999</v>
      </c>
      <c r="H7" s="7">
        <f t="shared" si="0"/>
        <v>20335558.169999994</v>
      </c>
      <c r="I7" s="34">
        <f t="shared" ref="I7:J7" si="1">I8+I12+I16+I18+I23+I27+I34+I39+I46+I50+I52+I72+I91+I109+I114+I116+I118+I123+I138+I142+I144+I149+I32+I48+I100</f>
        <v>1308559122.53</v>
      </c>
      <c r="J7" s="34">
        <f t="shared" si="1"/>
        <v>1260158120.6699998</v>
      </c>
      <c r="K7" s="7">
        <f t="shared" si="0"/>
        <v>-144582171.04000002</v>
      </c>
      <c r="L7" s="21">
        <f t="shared" ref="L7:L8" si="2">J7/C7</f>
        <v>1.4320715553337005</v>
      </c>
      <c r="M7" s="7"/>
      <c r="N7" s="7">
        <f t="shared" si="0"/>
        <v>12904815.669999991</v>
      </c>
      <c r="O7" s="21">
        <f>J7/I7</f>
        <v>0.96301198698120694</v>
      </c>
    </row>
    <row r="8" spans="1:15" s="25" customFormat="1" ht="126">
      <c r="A8" s="26" t="s">
        <v>70</v>
      </c>
      <c r="B8" s="24" t="s">
        <v>71</v>
      </c>
      <c r="C8" s="9">
        <f t="shared" ref="C8" si="3">SUM(C10:C11)</f>
        <v>16215200</v>
      </c>
      <c r="D8" s="15">
        <f t="shared" ref="D8:E8" si="4">SUM(D10:D11)</f>
        <v>150000</v>
      </c>
      <c r="E8" s="9">
        <f t="shared" si="4"/>
        <v>16365200</v>
      </c>
      <c r="F8" s="15">
        <f t="shared" ref="F8:G8" si="5">SUM(F10:F11)</f>
        <v>0</v>
      </c>
      <c r="G8" s="9">
        <f t="shared" si="5"/>
        <v>16365200</v>
      </c>
      <c r="H8" s="15">
        <f t="shared" ref="H8" si="6">SUM(H10:H11)</f>
        <v>16992000</v>
      </c>
      <c r="I8" s="35">
        <f t="shared" ref="I8:J8" si="7">SUM(I10:I11)</f>
        <v>16001200</v>
      </c>
      <c r="J8" s="35">
        <f t="shared" si="7"/>
        <v>14961234</v>
      </c>
      <c r="K8" s="9">
        <f t="shared" ref="K8" si="8">C8-J8</f>
        <v>1253966</v>
      </c>
      <c r="L8" s="20">
        <f t="shared" si="2"/>
        <v>0.92266725048103015</v>
      </c>
      <c r="M8" s="48" t="s">
        <v>140</v>
      </c>
      <c r="N8" s="9">
        <f t="shared" ref="N8:N50" si="9">I8-J8</f>
        <v>1039966</v>
      </c>
      <c r="O8" s="20">
        <f t="shared" ref="O8:O50" si="10">J8/I8</f>
        <v>0.9350069994750394</v>
      </c>
    </row>
    <row r="9" spans="1:15" ht="15.75" hidden="1">
      <c r="A9" s="10" t="s">
        <v>6</v>
      </c>
      <c r="B9" s="12"/>
      <c r="C9" s="9"/>
      <c r="D9" s="15"/>
      <c r="E9" s="9"/>
      <c r="F9" s="15"/>
      <c r="G9" s="9"/>
      <c r="H9" s="15"/>
      <c r="I9" s="9"/>
      <c r="J9" s="35"/>
      <c r="K9" s="9">
        <f t="shared" ref="K9:K71" si="11">C9-J9</f>
        <v>0</v>
      </c>
      <c r="L9" s="20" t="e">
        <f t="shared" ref="L9:L71" si="12">J9/C9</f>
        <v>#DIV/0!</v>
      </c>
      <c r="M9" s="9"/>
      <c r="N9" s="9"/>
      <c r="O9" s="20"/>
    </row>
    <row r="10" spans="1:15" ht="15.75" hidden="1">
      <c r="A10" s="3" t="s">
        <v>8</v>
      </c>
      <c r="B10" s="12"/>
      <c r="C10" s="9">
        <v>734000</v>
      </c>
      <c r="D10" s="15">
        <v>150000</v>
      </c>
      <c r="E10" s="9">
        <f>C10+D10</f>
        <v>884000</v>
      </c>
      <c r="F10" s="15"/>
      <c r="G10" s="9">
        <f>E10+F10</f>
        <v>884000</v>
      </c>
      <c r="H10" s="15">
        <f>200000-200000</f>
        <v>0</v>
      </c>
      <c r="I10" s="9">
        <v>520000</v>
      </c>
      <c r="J10" s="35">
        <f>160150+320000</f>
        <v>480150</v>
      </c>
      <c r="K10" s="9">
        <f t="shared" si="11"/>
        <v>253850</v>
      </c>
      <c r="L10" s="20">
        <f t="shared" si="12"/>
        <v>0.65415531335149868</v>
      </c>
      <c r="M10" s="9"/>
      <c r="N10" s="9">
        <f t="shared" si="9"/>
        <v>39850</v>
      </c>
      <c r="O10" s="20">
        <f t="shared" si="10"/>
        <v>0.92336538461538464</v>
      </c>
    </row>
    <row r="11" spans="1:15" ht="15.75" hidden="1">
      <c r="A11" s="10" t="s">
        <v>10</v>
      </c>
      <c r="B11" s="12"/>
      <c r="C11" s="9">
        <v>15481200</v>
      </c>
      <c r="D11" s="15"/>
      <c r="E11" s="9">
        <f>C11+D11</f>
        <v>15481200</v>
      </c>
      <c r="F11" s="15"/>
      <c r="G11" s="9">
        <f>E11+F11</f>
        <v>15481200</v>
      </c>
      <c r="H11" s="15">
        <v>16992000</v>
      </c>
      <c r="I11" s="9">
        <v>15481200</v>
      </c>
      <c r="J11" s="35">
        <v>14481084</v>
      </c>
      <c r="K11" s="9">
        <f t="shared" si="11"/>
        <v>1000116</v>
      </c>
      <c r="L11" s="20">
        <f t="shared" si="12"/>
        <v>0.93539803116037512</v>
      </c>
      <c r="M11" s="9"/>
      <c r="N11" s="9">
        <f t="shared" si="9"/>
        <v>1000116</v>
      </c>
      <c r="O11" s="20">
        <f t="shared" si="10"/>
        <v>0.93539803116037512</v>
      </c>
    </row>
    <row r="12" spans="1:15" ht="107.25" customHeight="1">
      <c r="A12" s="3" t="s">
        <v>72</v>
      </c>
      <c r="B12" s="24" t="s">
        <v>0</v>
      </c>
      <c r="C12" s="9">
        <f>SUM(C14:C15)</f>
        <v>29724275</v>
      </c>
      <c r="D12" s="15">
        <f t="shared" ref="D12:H12" si="13">D13</f>
        <v>383612.6</v>
      </c>
      <c r="E12" s="9">
        <f t="shared" si="13"/>
        <v>383612.6</v>
      </c>
      <c r="F12" s="15">
        <f t="shared" si="13"/>
        <v>457438.53</v>
      </c>
      <c r="G12" s="9">
        <f t="shared" si="13"/>
        <v>841051.13</v>
      </c>
      <c r="H12" s="15">
        <f t="shared" si="13"/>
        <v>6026329.5499999998</v>
      </c>
      <c r="I12" s="35">
        <f t="shared" ref="I12:J12" si="14">SUM(I14:I15)</f>
        <v>36815872.079999998</v>
      </c>
      <c r="J12" s="35">
        <f t="shared" si="14"/>
        <v>32961315.449999999</v>
      </c>
      <c r="K12" s="9">
        <f t="shared" si="11"/>
        <v>-3237040.4499999993</v>
      </c>
      <c r="L12" s="20">
        <f t="shared" si="12"/>
        <v>1.1089022507697832</v>
      </c>
      <c r="M12" s="9" t="s">
        <v>136</v>
      </c>
      <c r="N12" s="9">
        <f t="shared" si="9"/>
        <v>3854556.629999999</v>
      </c>
      <c r="O12" s="20">
        <f t="shared" si="10"/>
        <v>0.89530177034448233</v>
      </c>
    </row>
    <row r="13" spans="1:15" ht="15.75" hidden="1">
      <c r="A13" s="3" t="s">
        <v>6</v>
      </c>
      <c r="B13" s="12"/>
      <c r="C13" s="9"/>
      <c r="D13" s="15">
        <v>383612.6</v>
      </c>
      <c r="E13" s="9">
        <f>C13+D13</f>
        <v>383612.6</v>
      </c>
      <c r="F13" s="15">
        <v>457438.53</v>
      </c>
      <c r="G13" s="9">
        <f>E13+F13</f>
        <v>841051.13</v>
      </c>
      <c r="H13" s="15">
        <v>6026329.5499999998</v>
      </c>
      <c r="I13" s="9"/>
      <c r="J13" s="35"/>
      <c r="K13" s="9">
        <f t="shared" si="11"/>
        <v>0</v>
      </c>
      <c r="L13" s="20" t="e">
        <f t="shared" si="12"/>
        <v>#DIV/0!</v>
      </c>
      <c r="M13" s="9"/>
      <c r="N13" s="9">
        <f t="shared" si="9"/>
        <v>0</v>
      </c>
      <c r="O13" s="20" t="e">
        <f t="shared" si="10"/>
        <v>#DIV/0!</v>
      </c>
    </row>
    <row r="14" spans="1:15" ht="111" hidden="1" customHeight="1">
      <c r="A14" s="3" t="s">
        <v>9</v>
      </c>
      <c r="B14" s="12"/>
      <c r="C14" s="9">
        <v>29724275</v>
      </c>
      <c r="D14" s="15">
        <f t="shared" ref="D14:H14" si="15">D15</f>
        <v>0</v>
      </c>
      <c r="E14" s="9">
        <f t="shared" si="15"/>
        <v>0</v>
      </c>
      <c r="F14" s="15">
        <f t="shared" si="15"/>
        <v>2530489.7000000002</v>
      </c>
      <c r="G14" s="9">
        <f t="shared" si="15"/>
        <v>2530489.7000000002</v>
      </c>
      <c r="H14" s="15">
        <f t="shared" si="15"/>
        <v>0</v>
      </c>
      <c r="I14" s="9">
        <v>11401648.079999998</v>
      </c>
      <c r="J14" s="35">
        <f>3100146.34+593438.87+6533323.75</f>
        <v>10226908.960000001</v>
      </c>
      <c r="K14" s="9">
        <f t="shared" si="11"/>
        <v>19497366.039999999</v>
      </c>
      <c r="L14" s="20">
        <f t="shared" si="12"/>
        <v>0.34405915569008833</v>
      </c>
      <c r="M14" s="49" t="s">
        <v>101</v>
      </c>
      <c r="N14" s="9">
        <f t="shared" si="9"/>
        <v>1174739.1199999973</v>
      </c>
      <c r="O14" s="20">
        <f t="shared" si="10"/>
        <v>0.89696760400273667</v>
      </c>
    </row>
    <row r="15" spans="1:15" ht="15.75" hidden="1">
      <c r="A15" s="10" t="s">
        <v>10</v>
      </c>
      <c r="B15" s="12"/>
      <c r="C15" s="9"/>
      <c r="D15" s="15"/>
      <c r="E15" s="9">
        <f>C15+D15</f>
        <v>0</v>
      </c>
      <c r="F15" s="15">
        <v>2530489.7000000002</v>
      </c>
      <c r="G15" s="9">
        <f>E15+F15</f>
        <v>2530489.7000000002</v>
      </c>
      <c r="H15" s="15">
        <v>0</v>
      </c>
      <c r="I15" s="9">
        <v>25414224</v>
      </c>
      <c r="J15" s="35">
        <v>22734406.489999998</v>
      </c>
      <c r="K15" s="9">
        <f t="shared" si="11"/>
        <v>-22734406.489999998</v>
      </c>
      <c r="L15" s="20" t="e">
        <f t="shared" si="12"/>
        <v>#DIV/0!</v>
      </c>
      <c r="M15" s="9"/>
      <c r="N15" s="9">
        <f t="shared" si="9"/>
        <v>2679817.5100000016</v>
      </c>
      <c r="O15" s="20">
        <f t="shared" si="10"/>
        <v>0.89455442314508593</v>
      </c>
    </row>
    <row r="16" spans="1:15" ht="79.5" customHeight="1">
      <c r="A16" s="3" t="s">
        <v>73</v>
      </c>
      <c r="B16" s="24" t="s">
        <v>1</v>
      </c>
      <c r="C16" s="9">
        <f t="shared" ref="C16" si="16">C17</f>
        <v>23540000</v>
      </c>
      <c r="D16" s="15">
        <f t="shared" ref="D16" si="17">SUM(D18:D20)</f>
        <v>0</v>
      </c>
      <c r="E16" s="9">
        <f>SUM(E18:E20)</f>
        <v>14715869.210000001</v>
      </c>
      <c r="F16" s="15">
        <f t="shared" ref="F16:G16" si="18">SUM(F18:F20)</f>
        <v>23493404.220000003</v>
      </c>
      <c r="G16" s="9">
        <f t="shared" si="18"/>
        <v>38209273.43</v>
      </c>
      <c r="H16" s="15">
        <f t="shared" ref="H16" si="19">SUM(H18:H20)</f>
        <v>0</v>
      </c>
      <c r="I16" s="35">
        <f t="shared" ref="I16:J16" si="20">I17</f>
        <v>43654522.299999997</v>
      </c>
      <c r="J16" s="35">
        <f t="shared" si="20"/>
        <v>41995710.43</v>
      </c>
      <c r="K16" s="9">
        <f t="shared" si="11"/>
        <v>-18455710.43</v>
      </c>
      <c r="L16" s="20">
        <f t="shared" si="12"/>
        <v>1.7840148865760408</v>
      </c>
      <c r="M16" s="9" t="s">
        <v>125</v>
      </c>
      <c r="N16" s="9">
        <f t="shared" si="9"/>
        <v>1658811.8699999973</v>
      </c>
      <c r="O16" s="20">
        <f t="shared" si="10"/>
        <v>0.96200137391034979</v>
      </c>
    </row>
    <row r="17" spans="1:15" ht="15.75" hidden="1">
      <c r="A17" s="3" t="s">
        <v>7</v>
      </c>
      <c r="B17" s="12"/>
      <c r="C17" s="9">
        <v>23540000</v>
      </c>
      <c r="D17" s="15"/>
      <c r="E17" s="9"/>
      <c r="F17" s="15"/>
      <c r="G17" s="9"/>
      <c r="H17" s="15"/>
      <c r="I17" s="9">
        <v>43654522.299999997</v>
      </c>
      <c r="J17" s="35">
        <v>41995710.43</v>
      </c>
      <c r="K17" s="9">
        <f t="shared" si="11"/>
        <v>-18455710.43</v>
      </c>
      <c r="L17" s="20">
        <f t="shared" si="12"/>
        <v>1.7840148865760408</v>
      </c>
      <c r="M17" s="9"/>
      <c r="N17" s="9"/>
      <c r="O17" s="20"/>
    </row>
    <row r="18" spans="1:15" ht="63">
      <c r="A18" s="3" t="s">
        <v>74</v>
      </c>
      <c r="B18" s="24" t="s">
        <v>2</v>
      </c>
      <c r="C18" s="9">
        <f t="shared" ref="C18" si="21">SUM(C20:C22)</f>
        <v>14715869.210000001</v>
      </c>
      <c r="D18" s="15"/>
      <c r="E18" s="9">
        <f>C18+D18</f>
        <v>14715869.210000001</v>
      </c>
      <c r="F18" s="15">
        <f>22.45+10500</f>
        <v>10522.45</v>
      </c>
      <c r="G18" s="9">
        <f>E18+F18</f>
        <v>14726391.66</v>
      </c>
      <c r="H18" s="15">
        <v>0</v>
      </c>
      <c r="I18" s="9">
        <v>217237453.35999998</v>
      </c>
      <c r="J18" s="35">
        <f t="shared" ref="J18" si="22">SUM(J20:J22)</f>
        <v>185272133.31</v>
      </c>
      <c r="K18" s="9">
        <f t="shared" si="11"/>
        <v>-170556264.09999999</v>
      </c>
      <c r="L18" s="20">
        <f t="shared" si="12"/>
        <v>12.589955147474431</v>
      </c>
      <c r="M18" s="9" t="s">
        <v>88</v>
      </c>
      <c r="N18" s="9">
        <f t="shared" si="9"/>
        <v>31965320.049999982</v>
      </c>
      <c r="O18" s="20">
        <f t="shared" si="10"/>
        <v>0.85285539139041588</v>
      </c>
    </row>
    <row r="19" spans="1:15" ht="15.75" hidden="1">
      <c r="A19" s="3" t="s">
        <v>6</v>
      </c>
      <c r="B19" s="12"/>
      <c r="C19" s="9"/>
      <c r="D19" s="15"/>
      <c r="E19" s="9">
        <f>C19+D19</f>
        <v>0</v>
      </c>
      <c r="F19" s="15">
        <v>1865335.83</v>
      </c>
      <c r="G19" s="9">
        <f>E19+F19</f>
        <v>1865335.83</v>
      </c>
      <c r="H19" s="15"/>
      <c r="I19" s="9"/>
      <c r="J19" s="35"/>
      <c r="K19" s="9">
        <f t="shared" si="11"/>
        <v>0</v>
      </c>
      <c r="L19" s="20" t="e">
        <f t="shared" si="12"/>
        <v>#DIV/0!</v>
      </c>
      <c r="M19" s="9"/>
      <c r="N19" s="9">
        <f t="shared" si="9"/>
        <v>0</v>
      </c>
      <c r="O19" s="20" t="e">
        <f t="shared" si="10"/>
        <v>#DIV/0!</v>
      </c>
    </row>
    <row r="20" spans="1:15" ht="15.75" hidden="1">
      <c r="A20" s="3" t="s">
        <v>8</v>
      </c>
      <c r="B20" s="12"/>
      <c r="C20" s="9">
        <v>186565.21</v>
      </c>
      <c r="D20" s="15"/>
      <c r="E20" s="9"/>
      <c r="F20" s="15">
        <v>21617545.940000001</v>
      </c>
      <c r="G20" s="9">
        <f>E20+F20</f>
        <v>21617545.940000001</v>
      </c>
      <c r="H20" s="15"/>
      <c r="I20" s="9">
        <v>441575.56999999995</v>
      </c>
      <c r="J20" s="35">
        <f>168000+148023.33+75000</f>
        <v>391023.32999999996</v>
      </c>
      <c r="K20" s="9">
        <f t="shared" si="11"/>
        <v>-204458.11999999997</v>
      </c>
      <c r="L20" s="20">
        <f t="shared" si="12"/>
        <v>2.0959070021683033</v>
      </c>
      <c r="M20" s="9"/>
      <c r="N20" s="9">
        <f t="shared" si="9"/>
        <v>50552.239999999991</v>
      </c>
      <c r="O20" s="20">
        <f t="shared" si="10"/>
        <v>0.88551848554484114</v>
      </c>
    </row>
    <row r="21" spans="1:15" ht="89.25" hidden="1" customHeight="1">
      <c r="A21" s="3" t="s">
        <v>9</v>
      </c>
      <c r="B21" s="12"/>
      <c r="C21" s="9">
        <v>14529304</v>
      </c>
      <c r="D21" s="15">
        <f t="shared" ref="D21" si="23">D23</f>
        <v>0</v>
      </c>
      <c r="E21" s="9">
        <f>SUM(E23:E24)</f>
        <v>71272.12</v>
      </c>
      <c r="F21" s="9">
        <f t="shared" ref="F21:G21" si="24">SUM(F23:F24)</f>
        <v>248249.85</v>
      </c>
      <c r="G21" s="9">
        <f t="shared" si="24"/>
        <v>319521.96999999997</v>
      </c>
      <c r="H21" s="15">
        <f t="shared" ref="H21" si="25">SUM(H23:H24)</f>
        <v>2044750.15</v>
      </c>
      <c r="I21" s="9">
        <v>27173627.760000002</v>
      </c>
      <c r="J21" s="35">
        <v>25622233.510000002</v>
      </c>
      <c r="K21" s="9">
        <f t="shared" si="11"/>
        <v>-11092929.510000002</v>
      </c>
      <c r="L21" s="20">
        <f t="shared" si="12"/>
        <v>1.7634866412045616</v>
      </c>
      <c r="M21" s="9" t="s">
        <v>89</v>
      </c>
      <c r="N21" s="9">
        <f t="shared" si="9"/>
        <v>1551394.25</v>
      </c>
      <c r="O21" s="20">
        <f t="shared" si="10"/>
        <v>0.94290809222448846</v>
      </c>
    </row>
    <row r="22" spans="1:15" ht="36.75" hidden="1" customHeight="1">
      <c r="A22" s="10" t="s">
        <v>83</v>
      </c>
      <c r="B22" s="12"/>
      <c r="C22" s="9"/>
      <c r="D22" s="15"/>
      <c r="E22" s="9"/>
      <c r="F22" s="15"/>
      <c r="G22" s="9"/>
      <c r="H22" s="15"/>
      <c r="I22" s="9">
        <v>189622250.02999997</v>
      </c>
      <c r="J22" s="35">
        <v>159258876.47</v>
      </c>
      <c r="K22" s="9">
        <f t="shared" si="11"/>
        <v>-159258876.47</v>
      </c>
      <c r="L22" s="20" t="e">
        <f t="shared" si="12"/>
        <v>#DIV/0!</v>
      </c>
      <c r="M22" s="9"/>
      <c r="N22" s="9"/>
      <c r="O22" s="20"/>
    </row>
    <row r="23" spans="1:15" ht="78.75">
      <c r="A23" s="3" t="s">
        <v>75</v>
      </c>
      <c r="B23" s="24" t="s">
        <v>82</v>
      </c>
      <c r="C23" s="9">
        <f>SUM(C25:C26)</f>
        <v>71272.12</v>
      </c>
      <c r="D23" s="15"/>
      <c r="E23" s="9">
        <f>C23+D23</f>
        <v>71272.12</v>
      </c>
      <c r="F23" s="15"/>
      <c r="G23" s="9">
        <f>E23+F23</f>
        <v>71272.12</v>
      </c>
      <c r="H23" s="15"/>
      <c r="I23" s="9">
        <v>5901352.4700000007</v>
      </c>
      <c r="J23" s="9">
        <f t="shared" ref="J23" si="26">SUM(J25:J26)</f>
        <v>3839286.58</v>
      </c>
      <c r="K23" s="9">
        <f t="shared" si="11"/>
        <v>-3768014.46</v>
      </c>
      <c r="L23" s="20">
        <f>J23/C23</f>
        <v>53.86800027836972</v>
      </c>
      <c r="M23" s="9" t="s">
        <v>89</v>
      </c>
      <c r="N23" s="9">
        <f t="shared" si="9"/>
        <v>2062065.8900000006</v>
      </c>
      <c r="O23" s="20">
        <f t="shared" si="10"/>
        <v>0.65057740569086864</v>
      </c>
    </row>
    <row r="24" spans="1:15" ht="15.75" hidden="1">
      <c r="A24" s="3" t="s">
        <v>6</v>
      </c>
      <c r="B24" s="24"/>
      <c r="C24" s="9"/>
      <c r="D24" s="15"/>
      <c r="E24" s="9"/>
      <c r="F24" s="15">
        <v>248249.85</v>
      </c>
      <c r="G24" s="9">
        <f>E24+F24</f>
        <v>248249.85</v>
      </c>
      <c r="H24" s="15">
        <v>2044750.15</v>
      </c>
      <c r="I24" s="9"/>
      <c r="J24" s="35"/>
      <c r="K24" s="9">
        <f t="shared" si="11"/>
        <v>0</v>
      </c>
      <c r="L24" s="20" t="e">
        <f t="shared" si="12"/>
        <v>#DIV/0!</v>
      </c>
      <c r="M24" s="9"/>
      <c r="N24" s="9">
        <f t="shared" si="9"/>
        <v>0</v>
      </c>
      <c r="O24" s="20" t="e">
        <f t="shared" si="10"/>
        <v>#DIV/0!</v>
      </c>
    </row>
    <row r="25" spans="1:15" ht="78.75" hidden="1">
      <c r="A25" s="3" t="s">
        <v>8</v>
      </c>
      <c r="B25" s="12"/>
      <c r="C25" s="9">
        <v>71272.12</v>
      </c>
      <c r="D25" s="15">
        <f t="shared" ref="D25:E25" si="27">SUM(D27:D28)</f>
        <v>0</v>
      </c>
      <c r="E25" s="9">
        <f t="shared" si="27"/>
        <v>500000</v>
      </c>
      <c r="F25" s="15">
        <f t="shared" ref="F25:G25" si="28">SUM(F27:F28)</f>
        <v>1482994.6</v>
      </c>
      <c r="G25" s="9">
        <f t="shared" si="28"/>
        <v>1982994.6</v>
      </c>
      <c r="H25" s="15">
        <f t="shared" ref="H25" si="29">SUM(H27:H28)</f>
        <v>-2059484.55</v>
      </c>
      <c r="I25" s="9">
        <v>177040.57</v>
      </c>
      <c r="J25" s="35">
        <f>115178.6</f>
        <v>115178.6</v>
      </c>
      <c r="K25" s="9">
        <f t="shared" si="11"/>
        <v>-43906.48000000001</v>
      </c>
      <c r="L25" s="20">
        <f t="shared" si="12"/>
        <v>1.6160400448309944</v>
      </c>
      <c r="M25" s="9" t="s">
        <v>90</v>
      </c>
      <c r="N25" s="9">
        <f t="shared" si="9"/>
        <v>61861.97</v>
      </c>
      <c r="O25" s="20">
        <f t="shared" si="10"/>
        <v>0.6505774354431868</v>
      </c>
    </row>
    <row r="26" spans="1:15" ht="15.75" hidden="1">
      <c r="A26" s="3" t="s">
        <v>9</v>
      </c>
      <c r="B26" s="12"/>
      <c r="C26" s="9"/>
      <c r="D26" s="15"/>
      <c r="E26" s="9"/>
      <c r="F26" s="15"/>
      <c r="G26" s="9"/>
      <c r="H26" s="15"/>
      <c r="I26" s="9">
        <v>5724311.9000000004</v>
      </c>
      <c r="J26" s="35">
        <v>3724107.98</v>
      </c>
      <c r="K26" s="9">
        <f t="shared" si="11"/>
        <v>-3724107.98</v>
      </c>
      <c r="L26" s="20" t="e">
        <f t="shared" si="12"/>
        <v>#DIV/0!</v>
      </c>
      <c r="M26" s="9"/>
      <c r="N26" s="9"/>
      <c r="O26" s="20"/>
    </row>
    <row r="27" spans="1:15" ht="63">
      <c r="A27" s="3" t="s">
        <v>76</v>
      </c>
      <c r="B27" s="24" t="s">
        <v>3</v>
      </c>
      <c r="C27" s="9">
        <f>SUM(C29:C30)</f>
        <v>500000</v>
      </c>
      <c r="D27" s="15"/>
      <c r="E27" s="9">
        <f>C27+D27</f>
        <v>500000</v>
      </c>
      <c r="F27" s="15">
        <v>1482994.6</v>
      </c>
      <c r="G27" s="9">
        <f>E27+F27</f>
        <v>1982994.6</v>
      </c>
      <c r="H27" s="15">
        <v>-273884.55</v>
      </c>
      <c r="I27" s="9">
        <v>1282065.71</v>
      </c>
      <c r="J27" s="35">
        <f t="shared" ref="J27" si="30">SUM(J29:J31)</f>
        <v>950385.81</v>
      </c>
      <c r="K27" s="9">
        <f t="shared" si="11"/>
        <v>-450385.81000000006</v>
      </c>
      <c r="L27" s="20">
        <f t="shared" si="12"/>
        <v>1.9007716200000002</v>
      </c>
      <c r="M27" s="9" t="s">
        <v>139</v>
      </c>
      <c r="N27" s="9">
        <f t="shared" si="9"/>
        <v>331679.89999999991</v>
      </c>
      <c r="O27" s="20">
        <f t="shared" si="10"/>
        <v>0.74129258944145704</v>
      </c>
    </row>
    <row r="28" spans="1:15" ht="15.75" hidden="1">
      <c r="A28" s="3" t="s">
        <v>6</v>
      </c>
      <c r="B28" s="12"/>
      <c r="C28" s="9"/>
      <c r="D28" s="15"/>
      <c r="E28" s="9">
        <f>C28+D28</f>
        <v>0</v>
      </c>
      <c r="F28" s="15"/>
      <c r="G28" s="9">
        <f>E28+F28</f>
        <v>0</v>
      </c>
      <c r="H28" s="15">
        <v>-1785600</v>
      </c>
      <c r="I28" s="9"/>
      <c r="J28" s="35"/>
      <c r="K28" s="9">
        <f t="shared" si="11"/>
        <v>0</v>
      </c>
      <c r="L28" s="20" t="e">
        <f t="shared" si="12"/>
        <v>#DIV/0!</v>
      </c>
      <c r="M28" s="9"/>
      <c r="N28" s="9">
        <f t="shared" si="9"/>
        <v>0</v>
      </c>
      <c r="O28" s="20" t="e">
        <f t="shared" si="10"/>
        <v>#DIV/0!</v>
      </c>
    </row>
    <row r="29" spans="1:15" s="25" customFormat="1" ht="94.5" hidden="1">
      <c r="A29" s="10" t="s">
        <v>7</v>
      </c>
      <c r="B29" s="12"/>
      <c r="C29" s="9">
        <v>500000</v>
      </c>
      <c r="D29" s="15">
        <f t="shared" ref="D29:H29" si="31">D30+D34</f>
        <v>4737.9799999999996</v>
      </c>
      <c r="E29" s="9">
        <f t="shared" si="31"/>
        <v>64737.979999999996</v>
      </c>
      <c r="F29" s="15">
        <f t="shared" si="31"/>
        <v>161132</v>
      </c>
      <c r="G29" s="9">
        <f t="shared" si="31"/>
        <v>225869.97999999998</v>
      </c>
      <c r="H29" s="15">
        <f t="shared" si="31"/>
        <v>-3400568.0599999996</v>
      </c>
      <c r="I29" s="9">
        <v>1282065.71</v>
      </c>
      <c r="J29" s="35">
        <v>950385.81</v>
      </c>
      <c r="K29" s="9">
        <f t="shared" si="11"/>
        <v>-450385.81000000006</v>
      </c>
      <c r="L29" s="20">
        <f t="shared" si="12"/>
        <v>1.9007716200000002</v>
      </c>
      <c r="M29" s="50" t="s">
        <v>91</v>
      </c>
      <c r="N29" s="9">
        <f t="shared" si="9"/>
        <v>331679.89999999991</v>
      </c>
      <c r="O29" s="20">
        <f t="shared" si="10"/>
        <v>0.74129258944145704</v>
      </c>
    </row>
    <row r="30" spans="1:15" ht="83.25" hidden="1" customHeight="1">
      <c r="A30" s="3" t="s">
        <v>9</v>
      </c>
      <c r="B30" s="12"/>
      <c r="C30" s="9"/>
      <c r="D30" s="15">
        <f t="shared" ref="D30:E30" si="32">SUM(D32:D33)</f>
        <v>4737.9799999999996</v>
      </c>
      <c r="E30" s="9">
        <f t="shared" si="32"/>
        <v>64737.979999999996</v>
      </c>
      <c r="F30" s="15">
        <f t="shared" ref="F30:G30" si="33">SUM(F32:F33)</f>
        <v>82372</v>
      </c>
      <c r="G30" s="9">
        <f t="shared" si="33"/>
        <v>147109.97999999998</v>
      </c>
      <c r="H30" s="15">
        <f t="shared" ref="H30" si="34">SUM(H32:H33)</f>
        <v>-3400568.0599999996</v>
      </c>
      <c r="I30" s="9">
        <v>0</v>
      </c>
      <c r="J30" s="35"/>
      <c r="K30" s="9">
        <f t="shared" si="11"/>
        <v>0</v>
      </c>
      <c r="L30" s="20" t="e">
        <f t="shared" si="12"/>
        <v>#DIV/0!</v>
      </c>
      <c r="M30" s="9"/>
      <c r="N30" s="9">
        <f t="shared" si="9"/>
        <v>0</v>
      </c>
      <c r="O30" s="20" t="e">
        <f t="shared" si="10"/>
        <v>#DIV/0!</v>
      </c>
    </row>
    <row r="31" spans="1:15" ht="23.25" hidden="1" customHeight="1">
      <c r="A31" s="3" t="s">
        <v>10</v>
      </c>
      <c r="B31" s="12"/>
      <c r="C31" s="9"/>
      <c r="D31" s="15"/>
      <c r="E31" s="9"/>
      <c r="F31" s="15"/>
      <c r="G31" s="9"/>
      <c r="H31" s="15"/>
      <c r="I31" s="9">
        <v>0</v>
      </c>
      <c r="J31" s="35"/>
      <c r="K31" s="9">
        <f t="shared" si="11"/>
        <v>0</v>
      </c>
      <c r="L31" s="20" t="e">
        <f t="shared" si="12"/>
        <v>#DIV/0!</v>
      </c>
      <c r="M31" s="9"/>
      <c r="N31" s="9"/>
      <c r="O31" s="20"/>
    </row>
    <row r="32" spans="1:15" ht="63">
      <c r="A32" s="3" t="s">
        <v>112</v>
      </c>
      <c r="B32" s="24" t="s">
        <v>113</v>
      </c>
      <c r="C32" s="9">
        <f>C33</f>
        <v>30000</v>
      </c>
      <c r="D32" s="15">
        <f>4737.98</f>
        <v>4737.9799999999996</v>
      </c>
      <c r="E32" s="9">
        <f>C32+D32</f>
        <v>34737.979999999996</v>
      </c>
      <c r="F32" s="15">
        <f>-110000+192372</f>
        <v>82372</v>
      </c>
      <c r="G32" s="9">
        <f>E32+F32</f>
        <v>117109.98</v>
      </c>
      <c r="H32" s="15">
        <f>-240434.73-25281.07</f>
        <v>-265715.8</v>
      </c>
      <c r="I32" s="9">
        <v>30000</v>
      </c>
      <c r="J32" s="35">
        <f t="shared" ref="J32" si="35">J33</f>
        <v>30000</v>
      </c>
      <c r="K32" s="9">
        <f t="shared" si="11"/>
        <v>0</v>
      </c>
      <c r="L32" s="20">
        <f t="shared" si="12"/>
        <v>1</v>
      </c>
      <c r="M32" s="9"/>
      <c r="N32" s="9">
        <f t="shared" si="9"/>
        <v>0</v>
      </c>
      <c r="O32" s="20">
        <f t="shared" si="10"/>
        <v>1</v>
      </c>
    </row>
    <row r="33" spans="1:15" ht="15.75" hidden="1">
      <c r="A33" s="10" t="s">
        <v>7</v>
      </c>
      <c r="B33" s="12"/>
      <c r="C33" s="9">
        <v>30000</v>
      </c>
      <c r="D33" s="15"/>
      <c r="E33" s="9">
        <f>C33+D33</f>
        <v>30000</v>
      </c>
      <c r="F33" s="15"/>
      <c r="G33" s="9">
        <f>E33+F33</f>
        <v>30000</v>
      </c>
      <c r="H33" s="15">
        <v>-3134852.26</v>
      </c>
      <c r="I33" s="9">
        <v>30000</v>
      </c>
      <c r="J33" s="35">
        <v>30000</v>
      </c>
      <c r="K33" s="9">
        <f t="shared" si="11"/>
        <v>0</v>
      </c>
      <c r="L33" s="20">
        <f t="shared" si="12"/>
        <v>1</v>
      </c>
      <c r="M33" s="9"/>
      <c r="N33" s="9">
        <f t="shared" si="9"/>
        <v>0</v>
      </c>
      <c r="O33" s="20">
        <f t="shared" si="10"/>
        <v>1</v>
      </c>
    </row>
    <row r="34" spans="1:15" ht="83.25" customHeight="1">
      <c r="A34" s="36" t="s">
        <v>114</v>
      </c>
      <c r="B34" s="24" t="s">
        <v>115</v>
      </c>
      <c r="C34" s="9">
        <f t="shared" ref="C34" si="36">C36+C38</f>
        <v>466246</v>
      </c>
      <c r="D34" s="15">
        <f t="shared" ref="D34:H34" si="37">D35</f>
        <v>0</v>
      </c>
      <c r="E34" s="9">
        <f t="shared" si="37"/>
        <v>0</v>
      </c>
      <c r="F34" s="15">
        <f t="shared" si="37"/>
        <v>78760</v>
      </c>
      <c r="G34" s="9">
        <f t="shared" si="37"/>
        <v>78760</v>
      </c>
      <c r="H34" s="15">
        <f t="shared" si="37"/>
        <v>0</v>
      </c>
      <c r="I34" s="9">
        <v>0</v>
      </c>
      <c r="J34" s="35">
        <f t="shared" ref="J34" si="38">J36+J38</f>
        <v>0</v>
      </c>
      <c r="K34" s="9">
        <f t="shared" si="11"/>
        <v>466246</v>
      </c>
      <c r="L34" s="20">
        <f t="shared" si="12"/>
        <v>0</v>
      </c>
      <c r="M34" s="9" t="s">
        <v>126</v>
      </c>
      <c r="N34" s="9">
        <f t="shared" si="9"/>
        <v>0</v>
      </c>
      <c r="O34" s="37" t="s">
        <v>124</v>
      </c>
    </row>
    <row r="35" spans="1:15" ht="15.75" hidden="1">
      <c r="A35" s="3" t="s">
        <v>6</v>
      </c>
      <c r="B35" s="14"/>
      <c r="C35" s="9"/>
      <c r="D35" s="15"/>
      <c r="E35" s="9">
        <f>C35+D35</f>
        <v>0</v>
      </c>
      <c r="F35" s="15">
        <v>78760</v>
      </c>
      <c r="G35" s="9">
        <f>E35+F35</f>
        <v>78760</v>
      </c>
      <c r="H35" s="15"/>
      <c r="I35" s="9"/>
      <c r="J35" s="35"/>
      <c r="K35" s="9">
        <f t="shared" si="11"/>
        <v>0</v>
      </c>
      <c r="L35" s="20" t="e">
        <f t="shared" si="12"/>
        <v>#DIV/0!</v>
      </c>
      <c r="M35" s="9"/>
      <c r="N35" s="9">
        <f t="shared" si="9"/>
        <v>0</v>
      </c>
      <c r="O35" s="20" t="e">
        <f t="shared" si="10"/>
        <v>#DIV/0!</v>
      </c>
    </row>
    <row r="36" spans="1:15" s="25" customFormat="1" ht="117.75" hidden="1" customHeight="1">
      <c r="A36" s="10" t="s">
        <v>7</v>
      </c>
      <c r="B36" s="12"/>
      <c r="C36" s="9">
        <v>466246</v>
      </c>
      <c r="D36" s="15">
        <f t="shared" ref="D36:H36" si="39">D37</f>
        <v>0</v>
      </c>
      <c r="E36" s="9">
        <f t="shared" si="39"/>
        <v>0</v>
      </c>
      <c r="F36" s="15">
        <f t="shared" si="39"/>
        <v>98175</v>
      </c>
      <c r="G36" s="9">
        <f t="shared" si="39"/>
        <v>98175</v>
      </c>
      <c r="H36" s="15">
        <f t="shared" si="39"/>
        <v>0</v>
      </c>
      <c r="I36" s="9">
        <v>0</v>
      </c>
      <c r="J36" s="35"/>
      <c r="K36" s="9">
        <f t="shared" si="11"/>
        <v>466246</v>
      </c>
      <c r="L36" s="20">
        <f t="shared" si="12"/>
        <v>0</v>
      </c>
      <c r="M36" s="51" t="s">
        <v>92</v>
      </c>
      <c r="N36" s="9">
        <f t="shared" si="9"/>
        <v>0</v>
      </c>
      <c r="O36" s="20" t="e">
        <f t="shared" si="10"/>
        <v>#DIV/0!</v>
      </c>
    </row>
    <row r="37" spans="1:15" ht="15.75" hidden="1">
      <c r="A37" s="3" t="s">
        <v>9</v>
      </c>
      <c r="B37" s="12"/>
      <c r="C37" s="9"/>
      <c r="D37" s="15"/>
      <c r="E37" s="9">
        <f>C37+D37</f>
        <v>0</v>
      </c>
      <c r="F37" s="15">
        <f>98175</f>
        <v>98175</v>
      </c>
      <c r="G37" s="9">
        <f>E37+F37</f>
        <v>98175</v>
      </c>
      <c r="H37" s="15"/>
      <c r="I37" s="9">
        <v>0</v>
      </c>
      <c r="J37" s="35"/>
      <c r="K37" s="9">
        <f t="shared" si="11"/>
        <v>0</v>
      </c>
      <c r="L37" s="20" t="e">
        <f t="shared" si="12"/>
        <v>#DIV/0!</v>
      </c>
      <c r="M37" s="9"/>
      <c r="N37" s="9">
        <f t="shared" si="9"/>
        <v>0</v>
      </c>
      <c r="O37" s="20" t="e">
        <f t="shared" si="10"/>
        <v>#DIV/0!</v>
      </c>
    </row>
    <row r="38" spans="1:15" s="25" customFormat="1" ht="47.25" hidden="1">
      <c r="A38" s="10" t="s">
        <v>10</v>
      </c>
      <c r="B38" s="12"/>
      <c r="C38" s="9"/>
      <c r="D38" s="15">
        <f t="shared" ref="D38:H38" si="40">D39</f>
        <v>0</v>
      </c>
      <c r="E38" s="9">
        <f t="shared" si="40"/>
        <v>14630000</v>
      </c>
      <c r="F38" s="15">
        <f t="shared" si="40"/>
        <v>50000</v>
      </c>
      <c r="G38" s="9">
        <f t="shared" si="40"/>
        <v>14680000</v>
      </c>
      <c r="H38" s="15">
        <f t="shared" si="40"/>
        <v>0</v>
      </c>
      <c r="I38" s="9">
        <v>0</v>
      </c>
      <c r="J38" s="35"/>
      <c r="K38" s="9">
        <f t="shared" si="11"/>
        <v>0</v>
      </c>
      <c r="L38" s="20" t="e">
        <f t="shared" si="12"/>
        <v>#DIV/0!</v>
      </c>
      <c r="M38" s="50" t="s">
        <v>94</v>
      </c>
      <c r="N38" s="9">
        <f t="shared" si="9"/>
        <v>0</v>
      </c>
      <c r="O38" s="20" t="e">
        <f t="shared" si="10"/>
        <v>#DIV/0!</v>
      </c>
    </row>
    <row r="39" spans="1:15" ht="63">
      <c r="A39" s="26" t="s">
        <v>77</v>
      </c>
      <c r="B39" s="24" t="s">
        <v>43</v>
      </c>
      <c r="C39" s="9">
        <f t="shared" ref="C39" si="41">C40+C44</f>
        <v>14630000</v>
      </c>
      <c r="D39" s="15"/>
      <c r="E39" s="9">
        <f>C39+D39</f>
        <v>14630000</v>
      </c>
      <c r="F39" s="15">
        <f>50000</f>
        <v>50000</v>
      </c>
      <c r="G39" s="9">
        <f>E39+F39</f>
        <v>14680000</v>
      </c>
      <c r="H39" s="15"/>
      <c r="I39" s="9">
        <v>15061085.77</v>
      </c>
      <c r="J39" s="35">
        <f t="shared" ref="J39" si="42">J40+J44</f>
        <v>15008576.379999999</v>
      </c>
      <c r="K39" s="9">
        <f t="shared" si="11"/>
        <v>-378576.37999999896</v>
      </c>
      <c r="L39" s="20">
        <f t="shared" si="12"/>
        <v>1.0258767177033492</v>
      </c>
      <c r="M39" s="9" t="s">
        <v>137</v>
      </c>
      <c r="N39" s="9">
        <f t="shared" si="9"/>
        <v>52509.390000000596</v>
      </c>
      <c r="O39" s="20">
        <f t="shared" si="10"/>
        <v>0.99651357207562064</v>
      </c>
    </row>
    <row r="40" spans="1:15" s="25" customFormat="1" ht="63" hidden="1">
      <c r="A40" s="3" t="s">
        <v>78</v>
      </c>
      <c r="B40" s="12" t="s">
        <v>44</v>
      </c>
      <c r="C40" s="9">
        <f t="shared" ref="C40" si="43">SUM(C42:C43)</f>
        <v>14130000</v>
      </c>
      <c r="D40" s="15">
        <f t="shared" ref="D40:H40" si="44">D41+D46+D58+D51+D56</f>
        <v>392744.16</v>
      </c>
      <c r="E40" s="9">
        <f t="shared" si="44"/>
        <v>17787744.16</v>
      </c>
      <c r="F40" s="15">
        <f t="shared" si="44"/>
        <v>-6870.9099999999162</v>
      </c>
      <c r="G40" s="9">
        <f t="shared" si="44"/>
        <v>17780873.249999996</v>
      </c>
      <c r="H40" s="15">
        <f t="shared" si="44"/>
        <v>-340820.20999999996</v>
      </c>
      <c r="I40" s="35">
        <f t="shared" ref="I40:J40" si="45">SUM(I42:I43)</f>
        <v>14561085.77</v>
      </c>
      <c r="J40" s="35">
        <f t="shared" si="45"/>
        <v>14508947.34</v>
      </c>
      <c r="K40" s="9">
        <f t="shared" si="11"/>
        <v>-378947.33999999985</v>
      </c>
      <c r="L40" s="20">
        <f t="shared" si="12"/>
        <v>1.0268186369426751</v>
      </c>
      <c r="M40" s="9"/>
      <c r="N40" s="9">
        <f t="shared" si="9"/>
        <v>52138.429999999702</v>
      </c>
      <c r="O40" s="20">
        <f t="shared" si="10"/>
        <v>0.99641933089169632</v>
      </c>
    </row>
    <row r="41" spans="1:15" ht="15.75" hidden="1">
      <c r="A41" s="3" t="s">
        <v>6</v>
      </c>
      <c r="B41" s="12"/>
      <c r="C41" s="9"/>
      <c r="D41" s="15">
        <f t="shared" ref="D41:H41" si="46">D43</f>
        <v>284278.68</v>
      </c>
      <c r="E41" s="9">
        <f t="shared" si="46"/>
        <v>284278.68</v>
      </c>
      <c r="F41" s="15">
        <f t="shared" si="46"/>
        <v>227459.39</v>
      </c>
      <c r="G41" s="9">
        <f t="shared" si="46"/>
        <v>511738.07</v>
      </c>
      <c r="H41" s="15">
        <f t="shared" si="46"/>
        <v>1016552</v>
      </c>
      <c r="I41" s="9"/>
      <c r="J41" s="35"/>
      <c r="K41" s="9">
        <f t="shared" si="11"/>
        <v>0</v>
      </c>
      <c r="L41" s="20" t="e">
        <f t="shared" si="12"/>
        <v>#DIV/0!</v>
      </c>
      <c r="M41" s="9"/>
      <c r="N41" s="9">
        <f t="shared" si="9"/>
        <v>0</v>
      </c>
      <c r="O41" s="20" t="e">
        <f t="shared" si="10"/>
        <v>#DIV/0!</v>
      </c>
    </row>
    <row r="42" spans="1:15" ht="15.75" hidden="1">
      <c r="A42" s="10" t="s">
        <v>7</v>
      </c>
      <c r="B42" s="12"/>
      <c r="C42" s="9">
        <f>14130000</f>
        <v>14130000</v>
      </c>
      <c r="D42" s="15"/>
      <c r="E42" s="9"/>
      <c r="F42" s="15"/>
      <c r="G42" s="9"/>
      <c r="H42" s="15"/>
      <c r="I42" s="9">
        <v>14561085.77</v>
      </c>
      <c r="J42" s="35">
        <v>14508947.34</v>
      </c>
      <c r="K42" s="9">
        <f t="shared" si="11"/>
        <v>-378947.33999999985</v>
      </c>
      <c r="L42" s="20">
        <f t="shared" si="12"/>
        <v>1.0268186369426751</v>
      </c>
      <c r="M42" s="9"/>
      <c r="N42" s="9">
        <f t="shared" si="9"/>
        <v>52138.429999999702</v>
      </c>
      <c r="O42" s="20">
        <f t="shared" si="10"/>
        <v>0.99641933089169632</v>
      </c>
    </row>
    <row r="43" spans="1:15" ht="15.75" hidden="1">
      <c r="A43" s="3" t="s">
        <v>9</v>
      </c>
      <c r="B43" s="12"/>
      <c r="C43" s="9">
        <v>0</v>
      </c>
      <c r="D43" s="15">
        <v>284278.68</v>
      </c>
      <c r="E43" s="9">
        <f>C43+D43</f>
        <v>284278.68</v>
      </c>
      <c r="F43" s="15">
        <f>128979.39+98480</f>
        <v>227459.39</v>
      </c>
      <c r="G43" s="9">
        <f>E43+F43</f>
        <v>511738.07</v>
      </c>
      <c r="H43" s="15">
        <f>1164032-198480+51000</f>
        <v>1016552</v>
      </c>
      <c r="I43" s="9">
        <v>0</v>
      </c>
      <c r="J43" s="35"/>
      <c r="K43" s="9">
        <f t="shared" si="11"/>
        <v>0</v>
      </c>
      <c r="L43" s="20" t="e">
        <f t="shared" si="12"/>
        <v>#DIV/0!</v>
      </c>
      <c r="M43" s="9"/>
      <c r="N43" s="9">
        <f t="shared" si="9"/>
        <v>0</v>
      </c>
      <c r="O43" s="20" t="e">
        <f t="shared" si="10"/>
        <v>#DIV/0!</v>
      </c>
    </row>
    <row r="44" spans="1:15" ht="47.25" hidden="1">
      <c r="A44" s="3" t="s">
        <v>19</v>
      </c>
      <c r="B44" s="12" t="s">
        <v>45</v>
      </c>
      <c r="C44" s="9">
        <f t="shared" ref="C44" si="47">C45</f>
        <v>500000</v>
      </c>
      <c r="D44" s="15"/>
      <c r="E44" s="9"/>
      <c r="F44" s="15"/>
      <c r="G44" s="9"/>
      <c r="H44" s="15"/>
      <c r="I44" s="9">
        <v>500000</v>
      </c>
      <c r="J44" s="35">
        <f t="shared" ref="J44" si="48">J45</f>
        <v>499629.04</v>
      </c>
      <c r="K44" s="9">
        <f t="shared" si="11"/>
        <v>370.96000000002095</v>
      </c>
      <c r="L44" s="20">
        <f t="shared" si="12"/>
        <v>0.99925807999999994</v>
      </c>
      <c r="M44" s="9"/>
      <c r="N44" s="9">
        <f t="shared" si="9"/>
        <v>370.96000000002095</v>
      </c>
      <c r="O44" s="20">
        <f t="shared" si="10"/>
        <v>0.99925807999999994</v>
      </c>
    </row>
    <row r="45" spans="1:15" ht="15.75" hidden="1">
      <c r="A45" s="10" t="s">
        <v>7</v>
      </c>
      <c r="B45" s="12"/>
      <c r="C45" s="9">
        <f>500000</f>
        <v>500000</v>
      </c>
      <c r="D45" s="15"/>
      <c r="E45" s="9"/>
      <c r="F45" s="15"/>
      <c r="G45" s="9"/>
      <c r="H45" s="15"/>
      <c r="I45" s="9">
        <v>500000</v>
      </c>
      <c r="J45" s="35">
        <v>499629.04</v>
      </c>
      <c r="K45" s="9">
        <f t="shared" si="11"/>
        <v>370.96000000002095</v>
      </c>
      <c r="L45" s="20">
        <f t="shared" si="12"/>
        <v>0.99925807999999994</v>
      </c>
      <c r="M45" s="9"/>
      <c r="N45" s="9">
        <f t="shared" si="9"/>
        <v>370.96000000002095</v>
      </c>
      <c r="O45" s="20">
        <f t="shared" si="10"/>
        <v>0.99925807999999994</v>
      </c>
    </row>
    <row r="46" spans="1:15" ht="78.75">
      <c r="A46" s="26" t="s">
        <v>52</v>
      </c>
      <c r="B46" s="24" t="s">
        <v>46</v>
      </c>
      <c r="C46" s="9">
        <f t="shared" ref="C46:C48" si="49">C47</f>
        <v>10381000</v>
      </c>
      <c r="D46" s="15">
        <f t="shared" ref="D46:H46" si="50">D48+D49+D50</f>
        <v>-2168.52</v>
      </c>
      <c r="E46" s="9">
        <f t="shared" si="50"/>
        <v>-2168.52</v>
      </c>
      <c r="F46" s="15">
        <f t="shared" si="50"/>
        <v>86388.69</v>
      </c>
      <c r="G46" s="9">
        <f t="shared" si="50"/>
        <v>84220.17</v>
      </c>
      <c r="H46" s="15">
        <f t="shared" si="50"/>
        <v>210</v>
      </c>
      <c r="I46" s="9">
        <v>10485881.5</v>
      </c>
      <c r="J46" s="35">
        <f t="shared" ref="J46" si="51">J47</f>
        <v>10483772</v>
      </c>
      <c r="K46" s="9">
        <f t="shared" si="11"/>
        <v>-102772</v>
      </c>
      <c r="L46" s="20">
        <f t="shared" si="12"/>
        <v>1.0099000096329833</v>
      </c>
      <c r="M46" s="9"/>
      <c r="N46" s="9">
        <f t="shared" si="9"/>
        <v>2109.5</v>
      </c>
      <c r="O46" s="20">
        <f t="shared" si="10"/>
        <v>0.99979882473400061</v>
      </c>
    </row>
    <row r="47" spans="1:15" ht="15.75" hidden="1">
      <c r="A47" s="10" t="s">
        <v>7</v>
      </c>
      <c r="B47" s="12"/>
      <c r="C47" s="9">
        <v>10381000</v>
      </c>
      <c r="D47" s="15"/>
      <c r="E47" s="9"/>
      <c r="F47" s="15"/>
      <c r="G47" s="9"/>
      <c r="H47" s="15"/>
      <c r="I47" s="9">
        <v>10485881.5</v>
      </c>
      <c r="J47" s="35">
        <v>10483772</v>
      </c>
      <c r="K47" s="9">
        <f t="shared" si="11"/>
        <v>-102772</v>
      </c>
      <c r="L47" s="20">
        <f t="shared" si="12"/>
        <v>1.0099000096329833</v>
      </c>
      <c r="M47" s="9"/>
      <c r="N47" s="9"/>
      <c r="O47" s="20"/>
    </row>
    <row r="48" spans="1:15" ht="78.75" hidden="1">
      <c r="A48" s="26" t="s">
        <v>116</v>
      </c>
      <c r="B48" s="24" t="s">
        <v>46</v>
      </c>
      <c r="C48" s="9">
        <f t="shared" si="49"/>
        <v>0</v>
      </c>
      <c r="D48" s="15"/>
      <c r="E48" s="9">
        <f>C48+D48</f>
        <v>0</v>
      </c>
      <c r="F48" s="15">
        <f>86388.69</f>
        <v>86388.69</v>
      </c>
      <c r="G48" s="9">
        <f>E48+F48</f>
        <v>86388.69</v>
      </c>
      <c r="H48" s="15">
        <v>210</v>
      </c>
      <c r="I48" s="9">
        <v>0</v>
      </c>
      <c r="J48" s="35">
        <f t="shared" ref="J48" si="52">J49</f>
        <v>0</v>
      </c>
      <c r="K48" s="9">
        <f t="shared" si="11"/>
        <v>0</v>
      </c>
      <c r="L48" s="20" t="e">
        <f t="shared" si="12"/>
        <v>#DIV/0!</v>
      </c>
      <c r="M48" s="9"/>
      <c r="N48" s="9">
        <f t="shared" si="9"/>
        <v>0</v>
      </c>
      <c r="O48" s="20" t="e">
        <f t="shared" si="10"/>
        <v>#DIV/0!</v>
      </c>
    </row>
    <row r="49" spans="1:15" ht="15.75" hidden="1">
      <c r="A49" s="10" t="s">
        <v>7</v>
      </c>
      <c r="B49" s="12"/>
      <c r="C49" s="9"/>
      <c r="D49" s="15">
        <v>-2168.52</v>
      </c>
      <c r="E49" s="9">
        <f>C49+D49</f>
        <v>-2168.52</v>
      </c>
      <c r="F49" s="15"/>
      <c r="G49" s="9">
        <f>E49+F49</f>
        <v>-2168.52</v>
      </c>
      <c r="H49" s="15"/>
      <c r="I49" s="9">
        <v>0</v>
      </c>
      <c r="J49" s="35"/>
      <c r="K49" s="9">
        <f t="shared" si="11"/>
        <v>0</v>
      </c>
      <c r="L49" s="20" t="e">
        <f t="shared" si="12"/>
        <v>#DIV/0!</v>
      </c>
      <c r="M49" s="9"/>
      <c r="N49" s="9">
        <f t="shared" si="9"/>
        <v>0</v>
      </c>
      <c r="O49" s="20" t="e">
        <f t="shared" si="10"/>
        <v>#DIV/0!</v>
      </c>
    </row>
    <row r="50" spans="1:15" ht="63">
      <c r="A50" s="26" t="s">
        <v>79</v>
      </c>
      <c r="B50" s="24" t="s">
        <v>47</v>
      </c>
      <c r="C50" s="9">
        <f t="shared" ref="C50" si="53">C51</f>
        <v>2500000</v>
      </c>
      <c r="D50" s="15"/>
      <c r="E50" s="9"/>
      <c r="F50" s="15"/>
      <c r="G50" s="9"/>
      <c r="H50" s="15"/>
      <c r="I50" s="9">
        <v>10073801.07</v>
      </c>
      <c r="J50" s="35">
        <f t="shared" ref="J50" si="54">J51</f>
        <v>9842955.8699999992</v>
      </c>
      <c r="K50" s="9">
        <f t="shared" si="11"/>
        <v>-7342955.8699999992</v>
      </c>
      <c r="L50" s="20">
        <f t="shared" si="12"/>
        <v>3.9371823479999999</v>
      </c>
      <c r="M50" s="9" t="s">
        <v>127</v>
      </c>
      <c r="N50" s="9">
        <f t="shared" si="9"/>
        <v>230845.20000000112</v>
      </c>
      <c r="O50" s="20">
        <f t="shared" si="10"/>
        <v>0.97708459811783821</v>
      </c>
    </row>
    <row r="51" spans="1:15" ht="15.75" hidden="1">
      <c r="A51" s="10" t="s">
        <v>7</v>
      </c>
      <c r="B51" s="12"/>
      <c r="C51" s="9">
        <f>2243000+257000</f>
        <v>2500000</v>
      </c>
      <c r="D51" s="15">
        <f t="shared" ref="D51:H51" si="55">D53+D54</f>
        <v>110634</v>
      </c>
      <c r="E51" s="9">
        <f t="shared" si="55"/>
        <v>17505634</v>
      </c>
      <c r="F51" s="15">
        <f t="shared" si="55"/>
        <v>979289.27</v>
      </c>
      <c r="G51" s="9">
        <f t="shared" si="55"/>
        <v>18484923.27</v>
      </c>
      <c r="H51" s="15">
        <f t="shared" si="55"/>
        <v>-1005929.3999999999</v>
      </c>
      <c r="I51" s="9">
        <v>10073801.07</v>
      </c>
      <c r="J51" s="35">
        <v>9842955.8699999992</v>
      </c>
      <c r="K51" s="9">
        <f t="shared" si="11"/>
        <v>-7342955.8699999992</v>
      </c>
      <c r="L51" s="20">
        <f t="shared" si="12"/>
        <v>3.9371823479999999</v>
      </c>
      <c r="M51" s="9"/>
      <c r="N51" s="9">
        <f t="shared" ref="N51:N71" si="56">I51-J51</f>
        <v>230845.20000000112</v>
      </c>
      <c r="O51" s="20">
        <f t="shared" ref="O51:O71" si="57">J51/I51</f>
        <v>0.97708459811783821</v>
      </c>
    </row>
    <row r="52" spans="1:15" ht="110.25">
      <c r="A52" s="26" t="s">
        <v>117</v>
      </c>
      <c r="B52" s="24" t="s">
        <v>37</v>
      </c>
      <c r="C52" s="9">
        <f t="shared" ref="C52" si="58">C53+C58+C70+C63+C68</f>
        <v>77688200</v>
      </c>
      <c r="D52" s="15"/>
      <c r="E52" s="9"/>
      <c r="F52" s="15"/>
      <c r="G52" s="9"/>
      <c r="H52" s="15"/>
      <c r="I52" s="9">
        <v>85859640.399999991</v>
      </c>
      <c r="J52" s="35">
        <f t="shared" ref="J52" si="59">J53+J58+J70+J63+J68</f>
        <v>85859603.059999987</v>
      </c>
      <c r="K52" s="9">
        <f t="shared" si="11"/>
        <v>-8171403.0599999875</v>
      </c>
      <c r="L52" s="20">
        <f t="shared" si="12"/>
        <v>1.1051820361393363</v>
      </c>
      <c r="M52" s="9" t="s">
        <v>138</v>
      </c>
      <c r="N52" s="9">
        <f t="shared" si="56"/>
        <v>37.340000003576279</v>
      </c>
      <c r="O52" s="20">
        <f t="shared" si="57"/>
        <v>0.99999956510416499</v>
      </c>
    </row>
    <row r="53" spans="1:15" ht="31.5" hidden="1">
      <c r="A53" s="3" t="s">
        <v>23</v>
      </c>
      <c r="B53" s="12" t="s">
        <v>38</v>
      </c>
      <c r="C53" s="9">
        <f t="shared" ref="C53" si="60">C55</f>
        <v>17395000</v>
      </c>
      <c r="D53" s="15">
        <v>110634</v>
      </c>
      <c r="E53" s="9">
        <f>C53+D53</f>
        <v>17505634</v>
      </c>
      <c r="F53" s="15">
        <f>293490+404603+281196.27</f>
        <v>979289.27</v>
      </c>
      <c r="G53" s="9">
        <f>E53+F53</f>
        <v>18484923.27</v>
      </c>
      <c r="H53" s="15">
        <v>233459</v>
      </c>
      <c r="I53" s="9">
        <v>19493621.809999999</v>
      </c>
      <c r="J53" s="35">
        <f t="shared" ref="J53" si="61">J55</f>
        <v>19493621.809999999</v>
      </c>
      <c r="K53" s="9">
        <f t="shared" si="11"/>
        <v>-2098621.8099999987</v>
      </c>
      <c r="L53" s="20">
        <f t="shared" si="12"/>
        <v>1.1206451169876401</v>
      </c>
      <c r="M53" s="9"/>
      <c r="N53" s="9">
        <f t="shared" si="56"/>
        <v>0</v>
      </c>
      <c r="O53" s="20">
        <f t="shared" si="57"/>
        <v>1</v>
      </c>
    </row>
    <row r="54" spans="1:15" ht="15.75" hidden="1">
      <c r="A54" s="3" t="s">
        <v>6</v>
      </c>
      <c r="B54" s="12"/>
      <c r="C54" s="9"/>
      <c r="D54" s="15"/>
      <c r="E54" s="9">
        <f>C54+D54</f>
        <v>0</v>
      </c>
      <c r="F54" s="15"/>
      <c r="G54" s="9">
        <f>E54+F54</f>
        <v>0</v>
      </c>
      <c r="H54" s="15">
        <v>-1239388.3999999999</v>
      </c>
      <c r="I54" s="9"/>
      <c r="J54" s="35"/>
      <c r="K54" s="9">
        <f t="shared" si="11"/>
        <v>0</v>
      </c>
      <c r="L54" s="20" t="e">
        <f t="shared" si="12"/>
        <v>#DIV/0!</v>
      </c>
      <c r="M54" s="9"/>
      <c r="N54" s="9">
        <f t="shared" si="56"/>
        <v>0</v>
      </c>
      <c r="O54" s="20" t="e">
        <f t="shared" si="57"/>
        <v>#DIV/0!</v>
      </c>
    </row>
    <row r="55" spans="1:15" ht="15.75" hidden="1">
      <c r="A55" s="10" t="s">
        <v>7</v>
      </c>
      <c r="B55" s="12"/>
      <c r="C55" s="9">
        <v>17395000</v>
      </c>
      <c r="D55" s="15"/>
      <c r="E55" s="9"/>
      <c r="F55" s="15"/>
      <c r="G55" s="9"/>
      <c r="H55" s="15"/>
      <c r="I55" s="9">
        <v>19493621.809999999</v>
      </c>
      <c r="J55" s="35">
        <v>19493621.809999999</v>
      </c>
      <c r="K55" s="9">
        <f t="shared" si="11"/>
        <v>-2098621.8099999987</v>
      </c>
      <c r="L55" s="20">
        <f t="shared" si="12"/>
        <v>1.1206451169876401</v>
      </c>
      <c r="M55" s="9"/>
      <c r="N55" s="9">
        <f t="shared" si="56"/>
        <v>0</v>
      </c>
      <c r="O55" s="20">
        <f t="shared" si="57"/>
        <v>1</v>
      </c>
    </row>
    <row r="56" spans="1:15" ht="15.75" hidden="1">
      <c r="A56" s="3" t="s">
        <v>9</v>
      </c>
      <c r="B56" s="12"/>
      <c r="C56" s="9"/>
      <c r="D56" s="15">
        <f t="shared" ref="D56:H56" si="62">D57</f>
        <v>0</v>
      </c>
      <c r="E56" s="9">
        <f t="shared" si="62"/>
        <v>0</v>
      </c>
      <c r="F56" s="15">
        <f t="shared" si="62"/>
        <v>-1450258.26</v>
      </c>
      <c r="G56" s="9">
        <f t="shared" si="62"/>
        <v>-1450258.26</v>
      </c>
      <c r="H56" s="15">
        <f t="shared" si="62"/>
        <v>-29211</v>
      </c>
      <c r="I56" s="9">
        <v>0</v>
      </c>
      <c r="J56" s="35"/>
      <c r="K56" s="9">
        <f t="shared" si="11"/>
        <v>0</v>
      </c>
      <c r="L56" s="20" t="e">
        <f t="shared" si="12"/>
        <v>#DIV/0!</v>
      </c>
      <c r="M56" s="9"/>
      <c r="N56" s="9">
        <f t="shared" si="56"/>
        <v>0</v>
      </c>
      <c r="O56" s="20" t="e">
        <f t="shared" si="57"/>
        <v>#DIV/0!</v>
      </c>
    </row>
    <row r="57" spans="1:15" ht="15.75" hidden="1">
      <c r="A57" s="10" t="s">
        <v>10</v>
      </c>
      <c r="B57" s="12"/>
      <c r="C57" s="9"/>
      <c r="D57" s="15"/>
      <c r="E57" s="9">
        <f>C57+D57</f>
        <v>0</v>
      </c>
      <c r="F57" s="15">
        <v>-1450258.26</v>
      </c>
      <c r="G57" s="9">
        <f>E57+F57</f>
        <v>-1450258.26</v>
      </c>
      <c r="H57" s="15">
        <v>-29211</v>
      </c>
      <c r="I57" s="9">
        <v>0</v>
      </c>
      <c r="J57" s="35"/>
      <c r="K57" s="9">
        <f t="shared" si="11"/>
        <v>0</v>
      </c>
      <c r="L57" s="20" t="e">
        <f t="shared" si="12"/>
        <v>#DIV/0!</v>
      </c>
      <c r="M57" s="9"/>
      <c r="N57" s="9">
        <f t="shared" si="56"/>
        <v>0</v>
      </c>
      <c r="O57" s="20" t="e">
        <f t="shared" si="57"/>
        <v>#DIV/0!</v>
      </c>
    </row>
    <row r="58" spans="1:15" ht="31.5" hidden="1">
      <c r="A58" s="3" t="s">
        <v>24</v>
      </c>
      <c r="B58" s="12" t="s">
        <v>39</v>
      </c>
      <c r="C58" s="9">
        <f t="shared" ref="C58" si="63">C60+C61+C62</f>
        <v>19100000</v>
      </c>
      <c r="D58" s="15">
        <f t="shared" ref="D58:H58" si="64">D59</f>
        <v>0</v>
      </c>
      <c r="E58" s="9">
        <f t="shared" si="64"/>
        <v>0</v>
      </c>
      <c r="F58" s="15">
        <f t="shared" si="64"/>
        <v>150250</v>
      </c>
      <c r="G58" s="9">
        <f t="shared" si="64"/>
        <v>150250</v>
      </c>
      <c r="H58" s="15">
        <f t="shared" si="64"/>
        <v>-322441.81</v>
      </c>
      <c r="I58" s="9">
        <v>20839969.710000001</v>
      </c>
      <c r="J58" s="35">
        <f t="shared" ref="J58" si="65">J60+J61+J62</f>
        <v>20839932.370000001</v>
      </c>
      <c r="K58" s="9">
        <f t="shared" si="11"/>
        <v>-1739932.370000001</v>
      </c>
      <c r="L58" s="20">
        <f t="shared" si="12"/>
        <v>1.0910959356020944</v>
      </c>
      <c r="M58" s="9"/>
      <c r="N58" s="9">
        <f t="shared" si="56"/>
        <v>37.339999999850988</v>
      </c>
      <c r="O58" s="20">
        <f t="shared" si="57"/>
        <v>0.99999820825075469</v>
      </c>
    </row>
    <row r="59" spans="1:15" ht="15.75" hidden="1">
      <c r="A59" s="3" t="s">
        <v>6</v>
      </c>
      <c r="B59" s="12"/>
      <c r="C59" s="9"/>
      <c r="D59" s="15"/>
      <c r="E59" s="9">
        <f>C59+D59</f>
        <v>0</v>
      </c>
      <c r="F59" s="15">
        <v>150250</v>
      </c>
      <c r="G59" s="9">
        <f>E59+F59</f>
        <v>150250</v>
      </c>
      <c r="H59" s="15">
        <v>-322441.81</v>
      </c>
      <c r="I59" s="9"/>
      <c r="J59" s="35"/>
      <c r="K59" s="9">
        <f t="shared" si="11"/>
        <v>0</v>
      </c>
      <c r="L59" s="20" t="e">
        <f t="shared" si="12"/>
        <v>#DIV/0!</v>
      </c>
      <c r="M59" s="9"/>
      <c r="N59" s="9">
        <f t="shared" si="56"/>
        <v>0</v>
      </c>
      <c r="O59" s="20" t="e">
        <f t="shared" si="57"/>
        <v>#DIV/0!</v>
      </c>
    </row>
    <row r="60" spans="1:15" ht="63" hidden="1">
      <c r="A60" s="3" t="s">
        <v>8</v>
      </c>
      <c r="B60" s="12"/>
      <c r="C60" s="9">
        <v>19100000</v>
      </c>
      <c r="D60" s="15">
        <f t="shared" ref="D60:G60" si="66">D61+D66+D71+D73</f>
        <v>-17620245.619999997</v>
      </c>
      <c r="E60" s="9">
        <f t="shared" si="66"/>
        <v>889576276.38</v>
      </c>
      <c r="F60" s="15">
        <f t="shared" si="66"/>
        <v>12956043.039999999</v>
      </c>
      <c r="G60" s="9">
        <f t="shared" si="66"/>
        <v>902532319.42000008</v>
      </c>
      <c r="H60" s="15">
        <f t="shared" ref="H60" si="67">H61+H66+H71+H73</f>
        <v>382799.13999999873</v>
      </c>
      <c r="I60" s="9">
        <v>20078626.039999999</v>
      </c>
      <c r="J60" s="35">
        <v>20078588.699999999</v>
      </c>
      <c r="K60" s="9">
        <f t="shared" si="11"/>
        <v>-978588.69999999925</v>
      </c>
      <c r="L60" s="20">
        <f t="shared" si="12"/>
        <v>1.051235010471204</v>
      </c>
      <c r="M60" s="52" t="s">
        <v>93</v>
      </c>
      <c r="N60" s="9">
        <f t="shared" si="56"/>
        <v>37.339999999850988</v>
      </c>
      <c r="O60" s="20">
        <f t="shared" si="57"/>
        <v>0.9999981403109991</v>
      </c>
    </row>
    <row r="61" spans="1:15" ht="15.75" hidden="1">
      <c r="A61" s="3" t="s">
        <v>9</v>
      </c>
      <c r="B61" s="12"/>
      <c r="C61" s="9">
        <v>0</v>
      </c>
      <c r="D61" s="15">
        <f t="shared" ref="D61:H61" si="68">D63+D64+D65</f>
        <v>4185485.69</v>
      </c>
      <c r="E61" s="9">
        <f t="shared" si="68"/>
        <v>42778685.689999998</v>
      </c>
      <c r="F61" s="15">
        <f t="shared" si="68"/>
        <v>16110089.4</v>
      </c>
      <c r="G61" s="9">
        <f t="shared" si="68"/>
        <v>58888775.090000004</v>
      </c>
      <c r="H61" s="15">
        <f t="shared" si="68"/>
        <v>-7222102.7199999997</v>
      </c>
      <c r="I61" s="9">
        <v>290630.98</v>
      </c>
      <c r="J61" s="35">
        <f>64188.09+226442.89</f>
        <v>290630.98</v>
      </c>
      <c r="K61" s="9">
        <f t="shared" si="11"/>
        <v>-290630.98</v>
      </c>
      <c r="L61" s="20" t="e">
        <f t="shared" si="12"/>
        <v>#DIV/0!</v>
      </c>
      <c r="M61" s="9"/>
      <c r="N61" s="9">
        <f t="shared" si="56"/>
        <v>0</v>
      </c>
      <c r="O61" s="20">
        <f t="shared" si="57"/>
        <v>1</v>
      </c>
    </row>
    <row r="62" spans="1:15" s="25" customFormat="1" ht="15.75" hidden="1">
      <c r="A62" s="3" t="s">
        <v>10</v>
      </c>
      <c r="B62" s="12"/>
      <c r="C62" s="9"/>
      <c r="D62" s="15"/>
      <c r="E62" s="9"/>
      <c r="F62" s="15"/>
      <c r="G62" s="9"/>
      <c r="H62" s="15"/>
      <c r="I62" s="9">
        <v>470712.69</v>
      </c>
      <c r="J62" s="35">
        <v>470712.69</v>
      </c>
      <c r="K62" s="9">
        <f t="shared" si="11"/>
        <v>-470712.69</v>
      </c>
      <c r="L62" s="20" t="e">
        <f t="shared" si="12"/>
        <v>#DIV/0!</v>
      </c>
      <c r="M62" s="9"/>
      <c r="N62" s="9">
        <f t="shared" si="56"/>
        <v>0</v>
      </c>
      <c r="O62" s="20">
        <f t="shared" si="57"/>
        <v>1</v>
      </c>
    </row>
    <row r="63" spans="1:15" ht="31.5" hidden="1">
      <c r="A63" s="3" t="s">
        <v>25</v>
      </c>
      <c r="B63" s="12" t="s">
        <v>40</v>
      </c>
      <c r="C63" s="9">
        <f t="shared" ref="C63" si="69">C65+C66</f>
        <v>38593200</v>
      </c>
      <c r="D63" s="15">
        <f>1177818.69</f>
        <v>1177818.69</v>
      </c>
      <c r="E63" s="9">
        <f>C63+D63</f>
        <v>39771018.689999998</v>
      </c>
      <c r="F63" s="15">
        <f>552713.52-95213.42</f>
        <v>457500.10000000003</v>
      </c>
      <c r="G63" s="9">
        <f>E63+F63</f>
        <v>40228518.789999999</v>
      </c>
      <c r="H63" s="15">
        <v>425088.69</v>
      </c>
      <c r="I63" s="9">
        <v>42357122.079999998</v>
      </c>
      <c r="J63" s="35">
        <f t="shared" ref="J63" si="70">J65+J66</f>
        <v>42357122.079999998</v>
      </c>
      <c r="K63" s="9">
        <f t="shared" si="11"/>
        <v>-3763922.0799999982</v>
      </c>
      <c r="L63" s="20">
        <f t="shared" si="12"/>
        <v>1.0975281158338774</v>
      </c>
      <c r="M63" s="9"/>
      <c r="N63" s="9">
        <f t="shared" si="56"/>
        <v>0</v>
      </c>
      <c r="O63" s="20">
        <f t="shared" si="57"/>
        <v>1</v>
      </c>
    </row>
    <row r="64" spans="1:15" ht="15.75" hidden="1">
      <c r="A64" s="3" t="s">
        <v>6</v>
      </c>
      <c r="B64" s="12"/>
      <c r="C64" s="9"/>
      <c r="D64" s="15">
        <f>3008821-1154</f>
        <v>3007667</v>
      </c>
      <c r="E64" s="9">
        <f>C64+D64</f>
        <v>3007667</v>
      </c>
      <c r="F64" s="15">
        <f>15652589.3</f>
        <v>15652589.300000001</v>
      </c>
      <c r="G64" s="9">
        <f>E64+F64</f>
        <v>18660256.300000001</v>
      </c>
      <c r="H64" s="15">
        <v>-7647191.4100000001</v>
      </c>
      <c r="I64" s="9"/>
      <c r="J64" s="35"/>
      <c r="K64" s="9">
        <f t="shared" si="11"/>
        <v>0</v>
      </c>
      <c r="L64" s="20" t="e">
        <f t="shared" si="12"/>
        <v>#DIV/0!</v>
      </c>
      <c r="M64" s="9"/>
      <c r="N64" s="9">
        <f t="shared" si="56"/>
        <v>0</v>
      </c>
      <c r="O64" s="20" t="e">
        <f t="shared" si="57"/>
        <v>#DIV/0!</v>
      </c>
    </row>
    <row r="65" spans="1:15" ht="15.75" hidden="1">
      <c r="A65" s="3" t="s">
        <v>7</v>
      </c>
      <c r="B65" s="12"/>
      <c r="C65" s="9">
        <v>38593200</v>
      </c>
      <c r="D65" s="15"/>
      <c r="E65" s="9"/>
      <c r="F65" s="15"/>
      <c r="G65" s="9"/>
      <c r="H65" s="15"/>
      <c r="I65" s="9">
        <v>42357122.079999998</v>
      </c>
      <c r="J65" s="35">
        <v>42357122.079999998</v>
      </c>
      <c r="K65" s="9">
        <f t="shared" si="11"/>
        <v>-3763922.0799999982</v>
      </c>
      <c r="L65" s="20">
        <f t="shared" si="12"/>
        <v>1.0975281158338774</v>
      </c>
      <c r="M65" s="9"/>
      <c r="N65" s="9">
        <f t="shared" si="56"/>
        <v>0</v>
      </c>
      <c r="O65" s="20">
        <f t="shared" si="57"/>
        <v>1</v>
      </c>
    </row>
    <row r="66" spans="1:15" ht="15.75" hidden="1">
      <c r="A66" s="3" t="s">
        <v>9</v>
      </c>
      <c r="B66" s="12"/>
      <c r="C66" s="9">
        <v>0</v>
      </c>
      <c r="D66" s="15">
        <f t="shared" ref="D66:E66" si="71">SUM(D68:D70)</f>
        <v>-21857073.789999999</v>
      </c>
      <c r="E66" s="9">
        <f t="shared" si="71"/>
        <v>-19057073.789999999</v>
      </c>
      <c r="F66" s="15">
        <f t="shared" ref="F66:G66" si="72">SUM(F68:F70)</f>
        <v>-106569.54000000004</v>
      </c>
      <c r="G66" s="9">
        <f t="shared" si="72"/>
        <v>-19163643.329999998</v>
      </c>
      <c r="H66" s="15">
        <f t="shared" ref="H66" si="73">SUM(H68:H70)</f>
        <v>15839982.199999999</v>
      </c>
      <c r="I66" s="9">
        <v>0</v>
      </c>
      <c r="J66" s="35"/>
      <c r="K66" s="9">
        <f t="shared" si="11"/>
        <v>0</v>
      </c>
      <c r="L66" s="20" t="e">
        <f t="shared" si="12"/>
        <v>#DIV/0!</v>
      </c>
      <c r="M66" s="9"/>
      <c r="N66" s="9">
        <f t="shared" si="56"/>
        <v>0</v>
      </c>
      <c r="O66" s="20" t="e">
        <f t="shared" si="57"/>
        <v>#DIV/0!</v>
      </c>
    </row>
    <row r="67" spans="1:15" s="25" customFormat="1" ht="15.75" hidden="1">
      <c r="A67" s="10" t="s">
        <v>10</v>
      </c>
      <c r="B67" s="12"/>
      <c r="C67" s="9"/>
      <c r="D67" s="15"/>
      <c r="E67" s="9"/>
      <c r="F67" s="15"/>
      <c r="G67" s="9"/>
      <c r="H67" s="15"/>
      <c r="I67" s="9">
        <v>0</v>
      </c>
      <c r="J67" s="35"/>
      <c r="K67" s="9">
        <f t="shared" si="11"/>
        <v>0</v>
      </c>
      <c r="L67" s="20" t="e">
        <f t="shared" si="12"/>
        <v>#DIV/0!</v>
      </c>
      <c r="M67" s="9"/>
      <c r="N67" s="9">
        <f t="shared" si="56"/>
        <v>0</v>
      </c>
      <c r="O67" s="20" t="e">
        <f t="shared" si="57"/>
        <v>#DIV/0!</v>
      </c>
    </row>
    <row r="68" spans="1:15" ht="31.5" hidden="1">
      <c r="A68" s="10" t="s">
        <v>26</v>
      </c>
      <c r="B68" s="12" t="s">
        <v>42</v>
      </c>
      <c r="C68" s="9">
        <f t="shared" ref="C68" si="74">C69</f>
        <v>1400000</v>
      </c>
      <c r="D68" s="15">
        <f>1360875.21</f>
        <v>1360875.21</v>
      </c>
      <c r="E68" s="9">
        <f>C68+D68</f>
        <v>2760875.21</v>
      </c>
      <c r="F68" s="15">
        <f>144403.48-346520.8+432520.8-210500-126473.02</f>
        <v>-106569.54</v>
      </c>
      <c r="G68" s="9">
        <f>E68+F68</f>
        <v>2654305.67</v>
      </c>
      <c r="H68" s="15">
        <v>1465643.35</v>
      </c>
      <c r="I68" s="9">
        <v>1318926.8</v>
      </c>
      <c r="J68" s="35">
        <f t="shared" ref="J68" si="75">J69</f>
        <v>1318926.8</v>
      </c>
      <c r="K68" s="9">
        <f t="shared" si="11"/>
        <v>81073.199999999953</v>
      </c>
      <c r="L68" s="20">
        <f t="shared" si="12"/>
        <v>0.94209057142857144</v>
      </c>
      <c r="M68" s="9"/>
      <c r="N68" s="9">
        <f t="shared" si="56"/>
        <v>0</v>
      </c>
      <c r="O68" s="20">
        <f t="shared" si="57"/>
        <v>1</v>
      </c>
    </row>
    <row r="69" spans="1:15" ht="15.75" hidden="1">
      <c r="A69" s="10" t="s">
        <v>7</v>
      </c>
      <c r="B69" s="12"/>
      <c r="C69" s="9">
        <v>1400000</v>
      </c>
      <c r="D69" s="15">
        <f>-23376949+922638-1692879+929241</f>
        <v>-23217949</v>
      </c>
      <c r="E69" s="9">
        <f>C69+D69</f>
        <v>-21817949</v>
      </c>
      <c r="F69" s="15">
        <v>-904185.14</v>
      </c>
      <c r="G69" s="9">
        <f>E69+F69</f>
        <v>-22722134.140000001</v>
      </c>
      <c r="H69" s="15">
        <f>1056220+1387680-8589499+1789477.85</f>
        <v>-4356121.1500000004</v>
      </c>
      <c r="I69" s="9">
        <v>1318926.8</v>
      </c>
      <c r="J69" s="35">
        <v>1318926.8</v>
      </c>
      <c r="K69" s="9">
        <f t="shared" si="11"/>
        <v>81073.199999999953</v>
      </c>
      <c r="L69" s="20">
        <f t="shared" si="12"/>
        <v>0.94209057142857144</v>
      </c>
      <c r="M69" s="9"/>
      <c r="N69" s="9">
        <f t="shared" si="56"/>
        <v>0</v>
      </c>
      <c r="O69" s="20">
        <f t="shared" si="57"/>
        <v>1</v>
      </c>
    </row>
    <row r="70" spans="1:15" ht="15.75" hidden="1">
      <c r="A70" s="3" t="s">
        <v>13</v>
      </c>
      <c r="B70" s="12" t="s">
        <v>41</v>
      </c>
      <c r="C70" s="9">
        <f t="shared" ref="C70" si="76">C71</f>
        <v>1200000</v>
      </c>
      <c r="D70" s="15"/>
      <c r="E70" s="9"/>
      <c r="F70" s="15">
        <v>904185.14</v>
      </c>
      <c r="G70" s="9">
        <f>E70+F70</f>
        <v>904185.14</v>
      </c>
      <c r="H70" s="15">
        <f>10176320+8554140</f>
        <v>18730460</v>
      </c>
      <c r="I70" s="9">
        <v>1850000</v>
      </c>
      <c r="J70" s="35">
        <f t="shared" ref="J70" si="77">J71</f>
        <v>1850000</v>
      </c>
      <c r="K70" s="9">
        <f t="shared" si="11"/>
        <v>-650000</v>
      </c>
      <c r="L70" s="20">
        <f t="shared" si="12"/>
        <v>1.5416666666666667</v>
      </c>
      <c r="M70" s="9"/>
      <c r="N70" s="9">
        <f t="shared" si="56"/>
        <v>0</v>
      </c>
      <c r="O70" s="20">
        <f t="shared" si="57"/>
        <v>1</v>
      </c>
    </row>
    <row r="71" spans="1:15" ht="15.75" hidden="1">
      <c r="A71" s="10" t="s">
        <v>7</v>
      </c>
      <c r="B71" s="12"/>
      <c r="C71" s="9">
        <v>1200000</v>
      </c>
      <c r="D71" s="15">
        <f t="shared" ref="D71:H71" si="78">D72</f>
        <v>92390.57</v>
      </c>
      <c r="E71" s="9">
        <f t="shared" si="78"/>
        <v>614412045.57000005</v>
      </c>
      <c r="F71" s="15">
        <f t="shared" si="78"/>
        <v>-3911188.9</v>
      </c>
      <c r="G71" s="9">
        <f t="shared" si="78"/>
        <v>610500856.67000008</v>
      </c>
      <c r="H71" s="15">
        <f t="shared" si="78"/>
        <v>1314725.6299999999</v>
      </c>
      <c r="I71" s="9">
        <v>1850000</v>
      </c>
      <c r="J71" s="35">
        <v>1850000</v>
      </c>
      <c r="K71" s="9">
        <f t="shared" si="11"/>
        <v>-650000</v>
      </c>
      <c r="L71" s="20">
        <f t="shared" si="12"/>
        <v>1.5416666666666667</v>
      </c>
      <c r="M71" s="9"/>
      <c r="N71" s="9">
        <f t="shared" si="56"/>
        <v>0</v>
      </c>
      <c r="O71" s="20">
        <f t="shared" si="57"/>
        <v>1</v>
      </c>
    </row>
    <row r="72" spans="1:15" ht="78.75">
      <c r="A72" s="26" t="s">
        <v>118</v>
      </c>
      <c r="B72" s="24" t="s">
        <v>32</v>
      </c>
      <c r="C72" s="9">
        <f t="shared" ref="C72" si="79">C73+C78+C83+C87</f>
        <v>614319655</v>
      </c>
      <c r="D72" s="15">
        <v>92390.57</v>
      </c>
      <c r="E72" s="9">
        <f>C72+D72</f>
        <v>614412045.57000005</v>
      </c>
      <c r="F72" s="15">
        <v>-3911188.9</v>
      </c>
      <c r="G72" s="9">
        <f>E72+F72</f>
        <v>610500856.67000008</v>
      </c>
      <c r="H72" s="15">
        <v>1314725.6299999999</v>
      </c>
      <c r="I72" s="9">
        <v>676033069.68999994</v>
      </c>
      <c r="J72" s="35">
        <f t="shared" ref="J72" si="80">J73+J78+J83+J87</f>
        <v>672823168.15999997</v>
      </c>
      <c r="K72" s="9">
        <f>C72-J72</f>
        <v>-58503513.159999967</v>
      </c>
      <c r="L72" s="20">
        <f>J72/C72</f>
        <v>1.0952330153916368</v>
      </c>
      <c r="M72" s="9" t="s">
        <v>128</v>
      </c>
      <c r="N72" s="9">
        <f t="shared" ref="N72:N126" si="81">I72-J72</f>
        <v>3209901.5299999714</v>
      </c>
      <c r="O72" s="20">
        <f t="shared" ref="O72:O126" si="82">J72/I72</f>
        <v>0.99525185723315002</v>
      </c>
    </row>
    <row r="73" spans="1:15" ht="15.75" hidden="1">
      <c r="A73" s="3" t="s">
        <v>11</v>
      </c>
      <c r="B73" s="12" t="s">
        <v>33</v>
      </c>
      <c r="C73" s="9">
        <f t="shared" ref="C73" si="83">C75+C76+C77</f>
        <v>251483667</v>
      </c>
      <c r="D73" s="15">
        <f t="shared" ref="D73:H73" si="84">D75+D76</f>
        <v>-41048.090000000011</v>
      </c>
      <c r="E73" s="9">
        <f t="shared" si="84"/>
        <v>251442618.91</v>
      </c>
      <c r="F73" s="15">
        <f t="shared" si="84"/>
        <v>863712.08000000007</v>
      </c>
      <c r="G73" s="9">
        <f t="shared" si="84"/>
        <v>252306330.99000001</v>
      </c>
      <c r="H73" s="15">
        <f t="shared" si="84"/>
        <v>-9549805.9700000007</v>
      </c>
      <c r="I73" s="9">
        <v>255091851.81999999</v>
      </c>
      <c r="J73" s="35">
        <f t="shared" ref="J73" si="85">J75+J76+J77</f>
        <v>253142416.81</v>
      </c>
      <c r="K73" s="9">
        <f t="shared" ref="K73:K136" si="86">C73-J73</f>
        <v>-1658749.8100000024</v>
      </c>
      <c r="L73" s="20">
        <f t="shared" ref="L73:L136" si="87">J73/C73</f>
        <v>1.0065958550302194</v>
      </c>
      <c r="M73" s="9"/>
      <c r="N73" s="9">
        <f t="shared" si="81"/>
        <v>1949435.0099999905</v>
      </c>
      <c r="O73" s="20">
        <f t="shared" si="82"/>
        <v>0.99235790952909164</v>
      </c>
    </row>
    <row r="74" spans="1:15" s="25" customFormat="1" ht="15.75" hidden="1">
      <c r="A74" s="3" t="s">
        <v>6</v>
      </c>
      <c r="B74" s="14"/>
      <c r="C74" s="9"/>
      <c r="D74" s="15"/>
      <c r="E74" s="9"/>
      <c r="F74" s="15"/>
      <c r="G74" s="9"/>
      <c r="H74" s="15"/>
      <c r="I74" s="9"/>
      <c r="J74" s="35"/>
      <c r="K74" s="9">
        <f t="shared" si="86"/>
        <v>0</v>
      </c>
      <c r="L74" s="20" t="e">
        <f t="shared" si="87"/>
        <v>#DIV/0!</v>
      </c>
      <c r="M74" s="9"/>
      <c r="N74" s="9"/>
      <c r="O74" s="20"/>
    </row>
    <row r="75" spans="1:15" ht="15.75" hidden="1">
      <c r="A75" s="3" t="s">
        <v>8</v>
      </c>
      <c r="B75" s="12"/>
      <c r="C75" s="9">
        <v>87253000</v>
      </c>
      <c r="D75" s="15">
        <f>4737.98-120530.49+14213.93+120530.49</f>
        <v>18951.909999999989</v>
      </c>
      <c r="E75" s="9">
        <f>C75+D75</f>
        <v>87271951.909999996</v>
      </c>
      <c r="F75" s="15">
        <f>54050.64-124830.49+235568.44+120530.49</f>
        <v>285319.08</v>
      </c>
      <c r="G75" s="9">
        <f>E75+F75</f>
        <v>87557270.989999995</v>
      </c>
      <c r="H75" s="15">
        <f>-395270-27199.71+27199.71</f>
        <v>-395270</v>
      </c>
      <c r="I75" s="9">
        <v>94457236.510000005</v>
      </c>
      <c r="J75" s="35">
        <v>94457236.510000005</v>
      </c>
      <c r="K75" s="9">
        <f t="shared" si="86"/>
        <v>-7204236.5100000054</v>
      </c>
      <c r="L75" s="20">
        <f t="shared" si="87"/>
        <v>1.0825672069728263</v>
      </c>
      <c r="M75" s="9"/>
      <c r="N75" s="9">
        <f t="shared" si="81"/>
        <v>0</v>
      </c>
      <c r="O75" s="20">
        <f t="shared" si="82"/>
        <v>1</v>
      </c>
    </row>
    <row r="76" spans="1:15" ht="15.75" hidden="1">
      <c r="A76" s="3" t="s">
        <v>9</v>
      </c>
      <c r="B76" s="12"/>
      <c r="C76" s="9">
        <v>164230667</v>
      </c>
      <c r="D76" s="15">
        <v>-60000</v>
      </c>
      <c r="E76" s="9">
        <f>C76+D76</f>
        <v>164170667</v>
      </c>
      <c r="F76" s="15">
        <f>578393</f>
        <v>578393</v>
      </c>
      <c r="G76" s="9">
        <f>E76+F76</f>
        <v>164749060</v>
      </c>
      <c r="H76" s="15">
        <v>-9154535.9700000007</v>
      </c>
      <c r="I76" s="9">
        <v>160634615.31</v>
      </c>
      <c r="J76" s="35">
        <f>142992508+8525648.99+7167023.31</f>
        <v>158685180.30000001</v>
      </c>
      <c r="K76" s="9">
        <f t="shared" si="86"/>
        <v>5545486.6999999881</v>
      </c>
      <c r="L76" s="20">
        <f t="shared" si="87"/>
        <v>0.96623354942594253</v>
      </c>
      <c r="M76" s="9"/>
      <c r="N76" s="9">
        <f t="shared" si="81"/>
        <v>1949435.0099999905</v>
      </c>
      <c r="O76" s="20">
        <f t="shared" si="82"/>
        <v>0.98786416609995376</v>
      </c>
    </row>
    <row r="77" spans="1:15" s="25" customFormat="1" ht="47.25" hidden="1">
      <c r="A77" s="10" t="s">
        <v>10</v>
      </c>
      <c r="B77" s="12"/>
      <c r="C77" s="9"/>
      <c r="D77" s="15">
        <f t="shared" ref="D77:H77" si="88">D78+D82+D84</f>
        <v>411074</v>
      </c>
      <c r="E77" s="9">
        <f t="shared" si="88"/>
        <v>340362344</v>
      </c>
      <c r="F77" s="15">
        <f t="shared" si="88"/>
        <v>124377311.52000001</v>
      </c>
      <c r="G77" s="9">
        <f t="shared" si="88"/>
        <v>464739655.51999998</v>
      </c>
      <c r="H77" s="15">
        <f t="shared" si="88"/>
        <v>-11898.67</v>
      </c>
      <c r="I77" s="9">
        <v>0</v>
      </c>
      <c r="J77" s="35"/>
      <c r="K77" s="9">
        <f t="shared" si="86"/>
        <v>0</v>
      </c>
      <c r="L77" s="20" t="e">
        <f t="shared" si="87"/>
        <v>#DIV/0!</v>
      </c>
      <c r="M77" s="52" t="s">
        <v>95</v>
      </c>
      <c r="N77" s="9">
        <f t="shared" si="81"/>
        <v>0</v>
      </c>
      <c r="O77" s="20" t="e">
        <f t="shared" si="82"/>
        <v>#DIV/0!</v>
      </c>
    </row>
    <row r="78" spans="1:15" ht="45.75" hidden="1" customHeight="1">
      <c r="A78" s="3" t="s">
        <v>16</v>
      </c>
      <c r="B78" s="12" t="s">
        <v>34</v>
      </c>
      <c r="C78" s="9">
        <f t="shared" ref="C78" si="89">SUM(C80:C82)</f>
        <v>318351270</v>
      </c>
      <c r="D78" s="15">
        <f t="shared" ref="D78:H78" si="90">D80+D81</f>
        <v>0</v>
      </c>
      <c r="E78" s="9">
        <f t="shared" si="90"/>
        <v>318351270</v>
      </c>
      <c r="F78" s="15">
        <f t="shared" si="90"/>
        <v>123756481.88000001</v>
      </c>
      <c r="G78" s="9">
        <f t="shared" si="90"/>
        <v>442107751.88</v>
      </c>
      <c r="H78" s="15">
        <f t="shared" si="90"/>
        <v>-11898.67</v>
      </c>
      <c r="I78" s="9">
        <v>380279117.27999997</v>
      </c>
      <c r="J78" s="35">
        <f t="shared" ref="J78" si="91">SUM(J80:J82)</f>
        <v>380279117.27999997</v>
      </c>
      <c r="K78" s="9">
        <f t="shared" si="86"/>
        <v>-61927847.279999971</v>
      </c>
      <c r="L78" s="20">
        <f t="shared" si="87"/>
        <v>1.194526779428271</v>
      </c>
      <c r="M78" s="9"/>
      <c r="N78" s="9">
        <f t="shared" si="81"/>
        <v>0</v>
      </c>
      <c r="O78" s="20">
        <f t="shared" si="82"/>
        <v>1</v>
      </c>
    </row>
    <row r="79" spans="1:15" ht="15.75" hidden="1">
      <c r="A79" s="3" t="s">
        <v>6</v>
      </c>
      <c r="B79" s="14"/>
      <c r="C79" s="9"/>
      <c r="D79" s="15"/>
      <c r="E79" s="9"/>
      <c r="F79" s="15"/>
      <c r="G79" s="9"/>
      <c r="H79" s="15"/>
      <c r="I79" s="9"/>
      <c r="J79" s="35"/>
      <c r="K79" s="9">
        <f t="shared" si="86"/>
        <v>0</v>
      </c>
      <c r="L79" s="20" t="e">
        <f t="shared" si="87"/>
        <v>#DIV/0!</v>
      </c>
      <c r="M79" s="9"/>
      <c r="N79" s="9"/>
      <c r="O79" s="20"/>
    </row>
    <row r="80" spans="1:15" ht="15.75" hidden="1">
      <c r="A80" s="3" t="s">
        <v>8</v>
      </c>
      <c r="B80" s="12"/>
      <c r="C80" s="9">
        <v>85265330</v>
      </c>
      <c r="D80" s="15"/>
      <c r="E80" s="9">
        <f>C80+D80</f>
        <v>85265330</v>
      </c>
      <c r="F80" s="15">
        <f>-2955847.37+4000000+2955847.37+2436429-87095.75-8160000+750000+877342.51</f>
        <v>-183324.24</v>
      </c>
      <c r="G80" s="9">
        <f>E80+F80</f>
        <v>85082005.760000005</v>
      </c>
      <c r="H80" s="15"/>
      <c r="I80" s="9">
        <v>94249360.640000001</v>
      </c>
      <c r="J80" s="35">
        <v>94249360.640000001</v>
      </c>
      <c r="K80" s="9">
        <f t="shared" si="86"/>
        <v>-8984030.6400000006</v>
      </c>
      <c r="L80" s="20">
        <f t="shared" si="87"/>
        <v>1.1053655763720143</v>
      </c>
      <c r="M80" s="9"/>
      <c r="N80" s="9">
        <f t="shared" si="81"/>
        <v>0</v>
      </c>
      <c r="O80" s="20">
        <f t="shared" si="82"/>
        <v>1</v>
      </c>
    </row>
    <row r="81" spans="1:15" ht="15.75" hidden="1">
      <c r="A81" s="3" t="s">
        <v>9</v>
      </c>
      <c r="B81" s="12"/>
      <c r="C81" s="9">
        <v>233085940</v>
      </c>
      <c r="D81" s="15"/>
      <c r="E81" s="9">
        <f>C81+D81</f>
        <v>233085940</v>
      </c>
      <c r="F81" s="15">
        <v>123939806.12</v>
      </c>
      <c r="G81" s="9">
        <f>E81+F81</f>
        <v>357025746.12</v>
      </c>
      <c r="H81" s="15">
        <v>-11898.67</v>
      </c>
      <c r="I81" s="9">
        <v>238556740.63999999</v>
      </c>
      <c r="J81" s="35">
        <f>10232300+8521041.64+216871715+2931684</f>
        <v>238556740.63999999</v>
      </c>
      <c r="K81" s="9">
        <f t="shared" si="86"/>
        <v>-5470800.6399999857</v>
      </c>
      <c r="L81" s="20">
        <f t="shared" si="87"/>
        <v>1.0234711739369606</v>
      </c>
      <c r="M81" s="9"/>
      <c r="N81" s="9">
        <f t="shared" si="81"/>
        <v>0</v>
      </c>
      <c r="O81" s="20">
        <f t="shared" si="82"/>
        <v>1</v>
      </c>
    </row>
    <row r="82" spans="1:15" ht="15.75" hidden="1">
      <c r="A82" s="3" t="s">
        <v>10</v>
      </c>
      <c r="B82" s="12"/>
      <c r="C82" s="9"/>
      <c r="D82" s="15">
        <f t="shared" ref="D82:H82" si="92">D83</f>
        <v>411074</v>
      </c>
      <c r="E82" s="9">
        <f t="shared" si="92"/>
        <v>11211074</v>
      </c>
      <c r="F82" s="15">
        <f t="shared" si="92"/>
        <v>4220829.6400000006</v>
      </c>
      <c r="G82" s="9">
        <f t="shared" si="92"/>
        <v>15431903.640000001</v>
      </c>
      <c r="H82" s="15">
        <f t="shared" si="92"/>
        <v>0</v>
      </c>
      <c r="I82" s="9">
        <v>47473016</v>
      </c>
      <c r="J82" s="35">
        <f>25974000+21499016</f>
        <v>47473016</v>
      </c>
      <c r="K82" s="9">
        <f t="shared" si="86"/>
        <v>-47473016</v>
      </c>
      <c r="L82" s="20" t="e">
        <f t="shared" si="87"/>
        <v>#DIV/0!</v>
      </c>
      <c r="M82" s="9"/>
      <c r="N82" s="9">
        <f t="shared" si="81"/>
        <v>0</v>
      </c>
      <c r="O82" s="20">
        <f t="shared" si="82"/>
        <v>1</v>
      </c>
    </row>
    <row r="83" spans="1:15" ht="15.75" hidden="1">
      <c r="A83" s="3" t="s">
        <v>20</v>
      </c>
      <c r="B83" s="12" t="s">
        <v>35</v>
      </c>
      <c r="C83" s="9">
        <f>SUM(C85:C86)</f>
        <v>10800000</v>
      </c>
      <c r="D83" s="15">
        <v>411074</v>
      </c>
      <c r="E83" s="9">
        <f>C83+D83</f>
        <v>11211074</v>
      </c>
      <c r="F83" s="15">
        <f>120500+1100000+2550329.64+450000</f>
        <v>4220829.6400000006</v>
      </c>
      <c r="G83" s="9">
        <f>E83+F83</f>
        <v>15431903.640000001</v>
      </c>
      <c r="H83" s="15"/>
      <c r="I83" s="9">
        <v>10157148</v>
      </c>
      <c r="J83" s="9">
        <f t="shared" ref="J83" si="93">SUM(J85:J86)</f>
        <v>10157148</v>
      </c>
      <c r="K83" s="9">
        <f t="shared" si="86"/>
        <v>642852</v>
      </c>
      <c r="L83" s="20">
        <f t="shared" si="87"/>
        <v>0.94047666666666663</v>
      </c>
      <c r="M83" s="9"/>
      <c r="N83" s="9">
        <f t="shared" si="81"/>
        <v>0</v>
      </c>
      <c r="O83" s="20">
        <f t="shared" si="82"/>
        <v>1</v>
      </c>
    </row>
    <row r="84" spans="1:15" ht="15.75" hidden="1">
      <c r="A84" s="3" t="s">
        <v>6</v>
      </c>
      <c r="B84" s="12"/>
      <c r="C84" s="9"/>
      <c r="D84" s="15">
        <f t="shared" ref="D84:H84" si="94">D85</f>
        <v>0</v>
      </c>
      <c r="E84" s="9">
        <f t="shared" si="94"/>
        <v>10800000</v>
      </c>
      <c r="F84" s="15">
        <f t="shared" si="94"/>
        <v>-3600000</v>
      </c>
      <c r="G84" s="9">
        <f t="shared" si="94"/>
        <v>7200000</v>
      </c>
      <c r="H84" s="15">
        <f t="shared" si="94"/>
        <v>0</v>
      </c>
      <c r="I84" s="9"/>
      <c r="J84" s="35"/>
      <c r="K84" s="9">
        <f t="shared" si="86"/>
        <v>0</v>
      </c>
      <c r="L84" s="20" t="e">
        <f t="shared" si="87"/>
        <v>#DIV/0!</v>
      </c>
      <c r="M84" s="9"/>
      <c r="N84" s="9">
        <f t="shared" si="81"/>
        <v>0</v>
      </c>
      <c r="O84" s="20" t="e">
        <f t="shared" si="82"/>
        <v>#DIV/0!</v>
      </c>
    </row>
    <row r="85" spans="1:15" ht="15.75" hidden="1">
      <c r="A85" s="10" t="s">
        <v>7</v>
      </c>
      <c r="B85" s="12"/>
      <c r="C85" s="9">
        <v>10800000</v>
      </c>
      <c r="D85" s="15"/>
      <c r="E85" s="9">
        <f>C85+D85</f>
        <v>10800000</v>
      </c>
      <c r="F85" s="15">
        <v>-3600000</v>
      </c>
      <c r="G85" s="9">
        <f>E85+F85</f>
        <v>7200000</v>
      </c>
      <c r="H85" s="15"/>
      <c r="I85" s="9">
        <v>10157148</v>
      </c>
      <c r="J85" s="35">
        <v>10157148</v>
      </c>
      <c r="K85" s="9">
        <f t="shared" si="86"/>
        <v>642852</v>
      </c>
      <c r="L85" s="20">
        <f t="shared" si="87"/>
        <v>0.94047666666666663</v>
      </c>
      <c r="M85" s="9"/>
      <c r="N85" s="9">
        <f t="shared" si="81"/>
        <v>0</v>
      </c>
      <c r="O85" s="20">
        <f t="shared" si="82"/>
        <v>1</v>
      </c>
    </row>
    <row r="86" spans="1:15" s="25" customFormat="1" ht="63" hidden="1">
      <c r="A86" s="3" t="s">
        <v>9</v>
      </c>
      <c r="B86" s="12"/>
      <c r="C86" s="9"/>
      <c r="D86" s="15">
        <f t="shared" ref="D86:H86" si="95">D88+D89+D90</f>
        <v>1434744.51</v>
      </c>
      <c r="E86" s="9">
        <f t="shared" si="95"/>
        <v>35119462.509999998</v>
      </c>
      <c r="F86" s="15">
        <f t="shared" si="95"/>
        <v>-690946.2</v>
      </c>
      <c r="G86" s="9">
        <f t="shared" si="95"/>
        <v>34428516.310000002</v>
      </c>
      <c r="H86" s="15">
        <f t="shared" si="95"/>
        <v>0</v>
      </c>
      <c r="I86" s="9">
        <v>0</v>
      </c>
      <c r="J86" s="35"/>
      <c r="K86" s="9">
        <f t="shared" si="86"/>
        <v>0</v>
      </c>
      <c r="L86" s="20" t="e">
        <f t="shared" si="87"/>
        <v>#DIV/0!</v>
      </c>
      <c r="M86" s="9" t="s">
        <v>96</v>
      </c>
      <c r="N86" s="9">
        <f t="shared" si="81"/>
        <v>0</v>
      </c>
      <c r="O86" s="20" t="e">
        <f t="shared" si="82"/>
        <v>#DIV/0!</v>
      </c>
    </row>
    <row r="87" spans="1:15" s="25" customFormat="1" ht="15.75" hidden="1">
      <c r="A87" s="3" t="s">
        <v>13</v>
      </c>
      <c r="B87" s="12" t="s">
        <v>36</v>
      </c>
      <c r="C87" s="9">
        <f t="shared" ref="C87" si="96">C89+C90</f>
        <v>33684718</v>
      </c>
      <c r="D87" s="15"/>
      <c r="E87" s="9"/>
      <c r="F87" s="15"/>
      <c r="G87" s="9"/>
      <c r="H87" s="15"/>
      <c r="I87" s="9">
        <v>30504952.59</v>
      </c>
      <c r="J87" s="35">
        <f t="shared" ref="J87" si="97">J89+J90</f>
        <v>29244486.07</v>
      </c>
      <c r="K87" s="9">
        <f t="shared" si="86"/>
        <v>4440231.93</v>
      </c>
      <c r="L87" s="20">
        <f t="shared" si="87"/>
        <v>0.86818260048963447</v>
      </c>
      <c r="M87" s="9"/>
      <c r="N87" s="9"/>
      <c r="O87" s="20"/>
    </row>
    <row r="88" spans="1:15" ht="15.75" hidden="1">
      <c r="A88" s="3" t="s">
        <v>6</v>
      </c>
      <c r="B88" s="14"/>
      <c r="C88" s="9"/>
      <c r="D88" s="15"/>
      <c r="E88" s="9">
        <f>C88+D88</f>
        <v>0</v>
      </c>
      <c r="F88" s="15"/>
      <c r="G88" s="9">
        <f>E88+F88</f>
        <v>0</v>
      </c>
      <c r="H88" s="15"/>
      <c r="I88" s="9"/>
      <c r="J88" s="35"/>
      <c r="K88" s="9">
        <f t="shared" si="86"/>
        <v>0</v>
      </c>
      <c r="L88" s="20" t="e">
        <f t="shared" si="87"/>
        <v>#DIV/0!</v>
      </c>
      <c r="M88" s="9"/>
      <c r="N88" s="9">
        <f t="shared" si="81"/>
        <v>0</v>
      </c>
      <c r="O88" s="20" t="e">
        <f t="shared" si="82"/>
        <v>#DIV/0!</v>
      </c>
    </row>
    <row r="89" spans="1:15" ht="15.75" hidden="1">
      <c r="A89" s="3" t="s">
        <v>8</v>
      </c>
      <c r="B89" s="12"/>
      <c r="C89" s="9">
        <v>23847660</v>
      </c>
      <c r="D89" s="15">
        <f>1030442.62-600496.69</f>
        <v>429945.93000000005</v>
      </c>
      <c r="E89" s="9">
        <f>C89+D89</f>
        <v>24277605.93</v>
      </c>
      <c r="F89" s="15">
        <v>-349826.06</v>
      </c>
      <c r="G89" s="9">
        <f>E89+F89</f>
        <v>23927779.870000001</v>
      </c>
      <c r="H89" s="15"/>
      <c r="I89" s="9">
        <v>25356647.34</v>
      </c>
      <c r="J89" s="35">
        <v>25274452.039999999</v>
      </c>
      <c r="K89" s="9">
        <f t="shared" si="86"/>
        <v>-1426792.0399999991</v>
      </c>
      <c r="L89" s="20">
        <f t="shared" si="87"/>
        <v>1.0598294356762885</v>
      </c>
      <c r="M89" s="9"/>
      <c r="N89" s="9">
        <f t="shared" si="81"/>
        <v>82195.300000000745</v>
      </c>
      <c r="O89" s="20">
        <f t="shared" si="82"/>
        <v>0.99675843186609536</v>
      </c>
    </row>
    <row r="90" spans="1:15" ht="15.75" hidden="1">
      <c r="A90" s="3" t="s">
        <v>9</v>
      </c>
      <c r="B90" s="12"/>
      <c r="C90" s="9">
        <v>9837058</v>
      </c>
      <c r="D90" s="17">
        <v>1004798.58</v>
      </c>
      <c r="E90" s="9">
        <f>C90+D90</f>
        <v>10841856.58</v>
      </c>
      <c r="F90" s="15">
        <v>-341120.14</v>
      </c>
      <c r="G90" s="9">
        <f>E90+F90</f>
        <v>10500736.439999999</v>
      </c>
      <c r="H90" s="15"/>
      <c r="I90" s="9">
        <v>5148305.25</v>
      </c>
      <c r="J90" s="35">
        <f>2140424.03+469610+1360000</f>
        <v>3970034.03</v>
      </c>
      <c r="K90" s="9">
        <f t="shared" si="86"/>
        <v>5867023.9700000007</v>
      </c>
      <c r="L90" s="20">
        <f t="shared" si="87"/>
        <v>0.40357940656647545</v>
      </c>
      <c r="M90" s="9"/>
      <c r="N90" s="9">
        <f t="shared" si="81"/>
        <v>1178271.2200000002</v>
      </c>
      <c r="O90" s="20">
        <f t="shared" si="82"/>
        <v>0.77113415720639322</v>
      </c>
    </row>
    <row r="91" spans="1:15" s="25" customFormat="1" ht="110.25">
      <c r="A91" s="26" t="s">
        <v>31</v>
      </c>
      <c r="B91" s="24" t="s">
        <v>27</v>
      </c>
      <c r="C91" s="9">
        <f t="shared" ref="C91" si="98">C92+C96+C98</f>
        <v>50000000</v>
      </c>
      <c r="D91" s="15">
        <f t="shared" ref="D91:H91" si="99">D92</f>
        <v>0</v>
      </c>
      <c r="E91" s="9">
        <f t="shared" si="99"/>
        <v>37000000</v>
      </c>
      <c r="F91" s="15">
        <f t="shared" si="99"/>
        <v>-1100000</v>
      </c>
      <c r="G91" s="9">
        <f t="shared" si="99"/>
        <v>35900000</v>
      </c>
      <c r="H91" s="15">
        <f t="shared" si="99"/>
        <v>0</v>
      </c>
      <c r="I91" s="35">
        <f t="shared" ref="I91:J91" si="100">I92+I96+I98</f>
        <v>129313870.52</v>
      </c>
      <c r="J91" s="35">
        <f t="shared" si="100"/>
        <v>126134240.36</v>
      </c>
      <c r="K91" s="9">
        <f t="shared" si="86"/>
        <v>-76134240.359999999</v>
      </c>
      <c r="L91" s="20">
        <f t="shared" si="87"/>
        <v>2.5226848072000001</v>
      </c>
      <c r="M91" s="9" t="s">
        <v>129</v>
      </c>
      <c r="N91" s="9">
        <f t="shared" si="81"/>
        <v>3179630.1599999964</v>
      </c>
      <c r="O91" s="20">
        <f t="shared" si="82"/>
        <v>0.97541153050934137</v>
      </c>
    </row>
    <row r="92" spans="1:15" ht="31.5" hidden="1">
      <c r="A92" s="3" t="s">
        <v>14</v>
      </c>
      <c r="B92" s="12" t="s">
        <v>28</v>
      </c>
      <c r="C92" s="9">
        <f t="shared" ref="C92" si="101">C94+C95</f>
        <v>37000000</v>
      </c>
      <c r="D92" s="15"/>
      <c r="E92" s="9">
        <f>C92+D92</f>
        <v>37000000</v>
      </c>
      <c r="F92" s="15">
        <f>200000-1300000</f>
        <v>-1100000</v>
      </c>
      <c r="G92" s="9">
        <f>E92+F92</f>
        <v>35900000</v>
      </c>
      <c r="H92" s="15"/>
      <c r="I92" s="9">
        <v>104218220.3</v>
      </c>
      <c r="J92" s="35">
        <f t="shared" ref="J92" si="102">J94+J95</f>
        <v>102658875.83</v>
      </c>
      <c r="K92" s="9">
        <f t="shared" si="86"/>
        <v>-65658875.829999998</v>
      </c>
      <c r="L92" s="20">
        <f t="shared" si="87"/>
        <v>2.7745642116216214</v>
      </c>
      <c r="M92" s="9"/>
      <c r="N92" s="9">
        <f t="shared" si="81"/>
        <v>1559344.4699999988</v>
      </c>
      <c r="O92" s="20">
        <f t="shared" si="82"/>
        <v>0.98503769815382269</v>
      </c>
    </row>
    <row r="93" spans="1:15" s="25" customFormat="1" ht="31.5" hidden="1">
      <c r="A93" s="3" t="s">
        <v>6</v>
      </c>
      <c r="B93" s="12"/>
      <c r="C93" s="9"/>
      <c r="D93" s="15">
        <f t="shared" ref="D93:H93" si="103">D94</f>
        <v>0</v>
      </c>
      <c r="E93" s="9">
        <f t="shared" si="103"/>
        <v>37000000</v>
      </c>
      <c r="F93" s="15">
        <f t="shared" si="103"/>
        <v>750000</v>
      </c>
      <c r="G93" s="9">
        <f t="shared" si="103"/>
        <v>37750000</v>
      </c>
      <c r="H93" s="15">
        <f t="shared" si="103"/>
        <v>0</v>
      </c>
      <c r="I93" s="9"/>
      <c r="J93" s="35"/>
      <c r="K93" s="9">
        <f t="shared" si="86"/>
        <v>0</v>
      </c>
      <c r="L93" s="20" t="e">
        <f t="shared" si="87"/>
        <v>#DIV/0!</v>
      </c>
      <c r="M93" s="9" t="s">
        <v>97</v>
      </c>
      <c r="N93" s="9">
        <f t="shared" si="81"/>
        <v>0</v>
      </c>
      <c r="O93" s="20" t="e">
        <f t="shared" si="82"/>
        <v>#DIV/0!</v>
      </c>
    </row>
    <row r="94" spans="1:15" ht="15.75" hidden="1">
      <c r="A94" s="3" t="s">
        <v>8</v>
      </c>
      <c r="B94" s="12"/>
      <c r="C94" s="9">
        <v>37000000</v>
      </c>
      <c r="D94" s="15"/>
      <c r="E94" s="9">
        <f>C94+D94</f>
        <v>37000000</v>
      </c>
      <c r="F94" s="15">
        <f>750000</f>
        <v>750000</v>
      </c>
      <c r="G94" s="9">
        <f>E94+F94</f>
        <v>37750000</v>
      </c>
      <c r="H94" s="15">
        <v>0</v>
      </c>
      <c r="I94" s="9">
        <v>54218220.299999997</v>
      </c>
      <c r="J94" s="35">
        <v>52658875.829999998</v>
      </c>
      <c r="K94" s="9">
        <f t="shared" si="86"/>
        <v>-15658875.829999998</v>
      </c>
      <c r="L94" s="20">
        <f t="shared" si="87"/>
        <v>1.4232128602702703</v>
      </c>
      <c r="M94" s="9"/>
      <c r="N94" s="9">
        <f t="shared" si="81"/>
        <v>1559344.4699999988</v>
      </c>
      <c r="O94" s="20">
        <f t="shared" si="82"/>
        <v>0.97123947519170051</v>
      </c>
    </row>
    <row r="95" spans="1:15" ht="63.75" hidden="1" customHeight="1">
      <c r="A95" s="3" t="s">
        <v>9</v>
      </c>
      <c r="B95" s="12"/>
      <c r="C95" s="9">
        <v>0</v>
      </c>
      <c r="D95" s="15">
        <f t="shared" ref="D95:E95" si="104">SUM(D97:D99)</f>
        <v>0</v>
      </c>
      <c r="E95" s="9">
        <f t="shared" si="104"/>
        <v>11500000</v>
      </c>
      <c r="F95" s="15">
        <f t="shared" ref="F95:G95" si="105">SUM(F97:F99)</f>
        <v>0</v>
      </c>
      <c r="G95" s="9">
        <f t="shared" si="105"/>
        <v>11500000</v>
      </c>
      <c r="H95" s="15">
        <f t="shared" ref="H95" si="106">SUM(H97:H99)</f>
        <v>0</v>
      </c>
      <c r="I95" s="9">
        <v>50000000</v>
      </c>
      <c r="J95" s="35">
        <v>50000000</v>
      </c>
      <c r="K95" s="9">
        <f t="shared" si="86"/>
        <v>-50000000</v>
      </c>
      <c r="L95" s="20" t="e">
        <f t="shared" si="87"/>
        <v>#DIV/0!</v>
      </c>
      <c r="M95" s="9"/>
      <c r="N95" s="9">
        <f t="shared" si="81"/>
        <v>0</v>
      </c>
      <c r="O95" s="20">
        <f t="shared" si="82"/>
        <v>1</v>
      </c>
    </row>
    <row r="96" spans="1:15" ht="31.5" hidden="1">
      <c r="A96" s="3" t="s">
        <v>15</v>
      </c>
      <c r="B96" s="12" t="s">
        <v>29</v>
      </c>
      <c r="C96" s="9">
        <f t="shared" ref="C96" si="107">C97</f>
        <v>11500000</v>
      </c>
      <c r="D96" s="15"/>
      <c r="E96" s="9"/>
      <c r="F96" s="15"/>
      <c r="G96" s="9"/>
      <c r="H96" s="15"/>
      <c r="I96" s="9">
        <v>22251695.219999999</v>
      </c>
      <c r="J96" s="35">
        <f t="shared" ref="J96" si="108">J97</f>
        <v>21066628.530000001</v>
      </c>
      <c r="K96" s="9">
        <f t="shared" si="86"/>
        <v>-9566628.5300000012</v>
      </c>
      <c r="L96" s="20">
        <f t="shared" si="87"/>
        <v>1.8318807417391305</v>
      </c>
      <c r="M96" s="9"/>
      <c r="N96" s="9">
        <f t="shared" si="81"/>
        <v>1185066.6899999976</v>
      </c>
      <c r="O96" s="20">
        <f t="shared" si="82"/>
        <v>0.94674263339114717</v>
      </c>
    </row>
    <row r="97" spans="1:15" ht="15.75" hidden="1">
      <c r="A97" s="10" t="s">
        <v>7</v>
      </c>
      <c r="B97" s="12"/>
      <c r="C97" s="9">
        <v>11500000</v>
      </c>
      <c r="D97" s="15"/>
      <c r="E97" s="9">
        <f>C97+D97</f>
        <v>11500000</v>
      </c>
      <c r="F97" s="15"/>
      <c r="G97" s="9">
        <f>E97+F97</f>
        <v>11500000</v>
      </c>
      <c r="H97" s="15"/>
      <c r="I97" s="9">
        <v>22251695.219999999</v>
      </c>
      <c r="J97" s="35">
        <v>21066628.530000001</v>
      </c>
      <c r="K97" s="9">
        <f t="shared" si="86"/>
        <v>-9566628.5300000012</v>
      </c>
      <c r="L97" s="20">
        <f t="shared" si="87"/>
        <v>1.8318807417391305</v>
      </c>
      <c r="M97" s="9"/>
      <c r="N97" s="9">
        <f t="shared" si="81"/>
        <v>1185066.6899999976</v>
      </c>
      <c r="O97" s="20">
        <f t="shared" si="82"/>
        <v>0.94674263339114717</v>
      </c>
    </row>
    <row r="98" spans="1:15" ht="15.75" hidden="1">
      <c r="A98" s="3" t="s">
        <v>13</v>
      </c>
      <c r="B98" s="12" t="s">
        <v>30</v>
      </c>
      <c r="C98" s="9">
        <f t="shared" ref="C98" si="109">C99</f>
        <v>1500000</v>
      </c>
      <c r="D98" s="17"/>
      <c r="E98" s="13"/>
      <c r="F98" s="17"/>
      <c r="G98" s="13"/>
      <c r="H98" s="17"/>
      <c r="I98" s="13">
        <v>2843955</v>
      </c>
      <c r="J98" s="35">
        <f t="shared" ref="J98" si="110">J99</f>
        <v>2408736</v>
      </c>
      <c r="K98" s="9">
        <f t="shared" si="86"/>
        <v>-908736</v>
      </c>
      <c r="L98" s="20">
        <f t="shared" si="87"/>
        <v>1.6058239999999999</v>
      </c>
      <c r="M98" s="9"/>
      <c r="N98" s="13">
        <f t="shared" si="81"/>
        <v>435219</v>
      </c>
      <c r="O98" s="22">
        <f t="shared" si="82"/>
        <v>0.84696698787428071</v>
      </c>
    </row>
    <row r="99" spans="1:15" ht="15.75" hidden="1">
      <c r="A99" s="10" t="s">
        <v>7</v>
      </c>
      <c r="B99" s="12"/>
      <c r="C99" s="9">
        <v>1500000</v>
      </c>
      <c r="D99" s="17"/>
      <c r="E99" s="13"/>
      <c r="F99" s="17"/>
      <c r="G99" s="13"/>
      <c r="H99" s="17"/>
      <c r="I99" s="13">
        <v>2843955</v>
      </c>
      <c r="J99" s="35">
        <v>2408736</v>
      </c>
      <c r="K99" s="9">
        <f t="shared" si="86"/>
        <v>-908736</v>
      </c>
      <c r="L99" s="20">
        <f t="shared" si="87"/>
        <v>1.6058239999999999</v>
      </c>
      <c r="M99" s="9"/>
      <c r="N99" s="13">
        <f t="shared" si="81"/>
        <v>435219</v>
      </c>
      <c r="O99" s="22">
        <f t="shared" si="82"/>
        <v>0.84696698787428071</v>
      </c>
    </row>
    <row r="100" spans="1:15" ht="63" hidden="1">
      <c r="A100" s="31" t="s">
        <v>119</v>
      </c>
      <c r="B100" s="24" t="s">
        <v>27</v>
      </c>
      <c r="C100" s="9">
        <f t="shared" ref="C100" si="111">C101+C105+C107</f>
        <v>0</v>
      </c>
      <c r="D100" s="15">
        <f t="shared" ref="D100:E100" si="112">D101+D106+D111</f>
        <v>44712220.010000005</v>
      </c>
      <c r="E100" s="9">
        <f t="shared" si="112"/>
        <v>47228220.009999998</v>
      </c>
      <c r="F100" s="15">
        <f t="shared" ref="F100:G100" si="113">F101+F106+F111</f>
        <v>412258.28</v>
      </c>
      <c r="G100" s="9">
        <f t="shared" si="113"/>
        <v>47640478.289999999</v>
      </c>
      <c r="H100" s="15">
        <f t="shared" ref="H100" si="114">H101+H106+H111</f>
        <v>0</v>
      </c>
      <c r="I100" s="35">
        <f t="shared" ref="I100:J100" si="115">I101+I105+I107</f>
        <v>0</v>
      </c>
      <c r="J100" s="35">
        <f t="shared" si="115"/>
        <v>0</v>
      </c>
      <c r="K100" s="9">
        <f t="shared" si="86"/>
        <v>0</v>
      </c>
      <c r="L100" s="20" t="e">
        <f t="shared" si="87"/>
        <v>#DIV/0!</v>
      </c>
      <c r="M100" s="48" t="s">
        <v>98</v>
      </c>
      <c r="N100" s="9">
        <f t="shared" si="81"/>
        <v>0</v>
      </c>
      <c r="O100" s="20" t="e">
        <f t="shared" si="82"/>
        <v>#DIV/0!</v>
      </c>
    </row>
    <row r="101" spans="1:15" ht="31.5" hidden="1">
      <c r="A101" s="3" t="s">
        <v>14</v>
      </c>
      <c r="B101" s="12" t="s">
        <v>28</v>
      </c>
      <c r="C101" s="9">
        <f t="shared" ref="C101" si="116">C103+C104</f>
        <v>0</v>
      </c>
      <c r="D101" s="15">
        <f t="shared" ref="D101:H101" si="117">D103</f>
        <v>-230000</v>
      </c>
      <c r="E101" s="9">
        <f t="shared" si="117"/>
        <v>-230000</v>
      </c>
      <c r="F101" s="15">
        <f t="shared" si="117"/>
        <v>0</v>
      </c>
      <c r="G101" s="9">
        <f t="shared" si="117"/>
        <v>-230000</v>
      </c>
      <c r="H101" s="15">
        <f t="shared" si="117"/>
        <v>0</v>
      </c>
      <c r="I101" s="9">
        <v>0</v>
      </c>
      <c r="J101" s="35">
        <f t="shared" ref="J101" si="118">J103+J104</f>
        <v>0</v>
      </c>
      <c r="K101" s="9">
        <f t="shared" si="86"/>
        <v>0</v>
      </c>
      <c r="L101" s="20" t="e">
        <f t="shared" si="87"/>
        <v>#DIV/0!</v>
      </c>
      <c r="M101" s="9"/>
      <c r="N101" s="9">
        <f t="shared" si="81"/>
        <v>0</v>
      </c>
      <c r="O101" s="20" t="e">
        <f t="shared" si="82"/>
        <v>#DIV/0!</v>
      </c>
    </row>
    <row r="102" spans="1:15" ht="15.75" hidden="1">
      <c r="A102" s="3" t="s">
        <v>6</v>
      </c>
      <c r="B102" s="12"/>
      <c r="C102" s="9"/>
      <c r="D102" s="15"/>
      <c r="E102" s="9"/>
      <c r="F102" s="15"/>
      <c r="G102" s="9"/>
      <c r="H102" s="15"/>
      <c r="I102" s="9"/>
      <c r="J102" s="35"/>
      <c r="K102" s="9">
        <f t="shared" si="86"/>
        <v>0</v>
      </c>
      <c r="L102" s="20" t="e">
        <f t="shared" si="87"/>
        <v>#DIV/0!</v>
      </c>
      <c r="M102" s="9"/>
      <c r="N102" s="9">
        <f t="shared" si="81"/>
        <v>0</v>
      </c>
      <c r="O102" s="20" t="e">
        <f t="shared" si="82"/>
        <v>#DIV/0!</v>
      </c>
    </row>
    <row r="103" spans="1:15" ht="15.75" hidden="1">
      <c r="A103" s="3" t="s">
        <v>7</v>
      </c>
      <c r="B103" s="12"/>
      <c r="C103" s="9"/>
      <c r="D103" s="15">
        <f>-200000-30000</f>
        <v>-230000</v>
      </c>
      <c r="E103" s="9">
        <f>C103+D103</f>
        <v>-230000</v>
      </c>
      <c r="F103" s="15"/>
      <c r="G103" s="9">
        <f>E103+F103</f>
        <v>-230000</v>
      </c>
      <c r="H103" s="15"/>
      <c r="I103" s="9">
        <v>0</v>
      </c>
      <c r="J103" s="35"/>
      <c r="K103" s="9">
        <f t="shared" si="86"/>
        <v>0</v>
      </c>
      <c r="L103" s="20" t="e">
        <f t="shared" si="87"/>
        <v>#DIV/0!</v>
      </c>
      <c r="M103" s="9"/>
      <c r="N103" s="9">
        <f t="shared" si="81"/>
        <v>0</v>
      </c>
      <c r="O103" s="20" t="e">
        <f t="shared" si="82"/>
        <v>#DIV/0!</v>
      </c>
    </row>
    <row r="104" spans="1:15" ht="15.75" hidden="1">
      <c r="A104" s="3" t="s">
        <v>9</v>
      </c>
      <c r="B104" s="12"/>
      <c r="C104" s="9"/>
      <c r="D104" s="15"/>
      <c r="E104" s="9"/>
      <c r="F104" s="15"/>
      <c r="G104" s="9"/>
      <c r="H104" s="15"/>
      <c r="I104" s="9">
        <v>0</v>
      </c>
      <c r="J104" s="35"/>
      <c r="K104" s="9">
        <f t="shared" si="86"/>
        <v>0</v>
      </c>
      <c r="L104" s="20" t="e">
        <f t="shared" si="87"/>
        <v>#DIV/0!</v>
      </c>
      <c r="M104" s="9"/>
      <c r="N104" s="9">
        <f t="shared" si="81"/>
        <v>0</v>
      </c>
      <c r="O104" s="20" t="e">
        <f t="shared" si="82"/>
        <v>#DIV/0!</v>
      </c>
    </row>
    <row r="105" spans="1:15" ht="31.5" hidden="1">
      <c r="A105" s="3" t="s">
        <v>15</v>
      </c>
      <c r="B105" s="12" t="s">
        <v>29</v>
      </c>
      <c r="C105" s="9">
        <f t="shared" ref="C105" si="119">C106</f>
        <v>0</v>
      </c>
      <c r="D105" s="15"/>
      <c r="E105" s="9"/>
      <c r="F105" s="15"/>
      <c r="G105" s="9"/>
      <c r="H105" s="15"/>
      <c r="I105" s="9">
        <v>0</v>
      </c>
      <c r="J105" s="35">
        <f t="shared" ref="J105" si="120">J106</f>
        <v>0</v>
      </c>
      <c r="K105" s="9">
        <f t="shared" si="86"/>
        <v>0</v>
      </c>
      <c r="L105" s="20" t="e">
        <f t="shared" si="87"/>
        <v>#DIV/0!</v>
      </c>
      <c r="M105" s="9"/>
      <c r="N105" s="9">
        <f t="shared" si="81"/>
        <v>0</v>
      </c>
      <c r="O105" s="20" t="e">
        <f t="shared" si="82"/>
        <v>#DIV/0!</v>
      </c>
    </row>
    <row r="106" spans="1:15" ht="15.75" hidden="1">
      <c r="A106" s="10" t="s">
        <v>7</v>
      </c>
      <c r="B106" s="12"/>
      <c r="C106" s="9"/>
      <c r="D106" s="15">
        <f t="shared" ref="D106:E106" si="121">SUM(D108:D110)</f>
        <v>17710933.720000003</v>
      </c>
      <c r="E106" s="9">
        <f t="shared" si="121"/>
        <v>18226933.719999999</v>
      </c>
      <c r="F106" s="15">
        <f t="shared" ref="F106:G106" si="122">SUM(F108:F110)</f>
        <v>203178.84000000003</v>
      </c>
      <c r="G106" s="9">
        <f t="shared" si="122"/>
        <v>18430112.559999999</v>
      </c>
      <c r="H106" s="15">
        <f t="shared" ref="H106" si="123">SUM(H108:H110)</f>
        <v>0</v>
      </c>
      <c r="I106" s="9">
        <v>0</v>
      </c>
      <c r="J106" s="35"/>
      <c r="K106" s="9">
        <f t="shared" si="86"/>
        <v>0</v>
      </c>
      <c r="L106" s="20" t="e">
        <f t="shared" si="87"/>
        <v>#DIV/0!</v>
      </c>
      <c r="M106" s="9"/>
      <c r="N106" s="9">
        <f t="shared" si="81"/>
        <v>0</v>
      </c>
      <c r="O106" s="20" t="e">
        <f t="shared" si="82"/>
        <v>#DIV/0!</v>
      </c>
    </row>
    <row r="107" spans="1:15" ht="15.75" hidden="1">
      <c r="A107" s="3" t="s">
        <v>13</v>
      </c>
      <c r="B107" s="12" t="s">
        <v>30</v>
      </c>
      <c r="C107" s="9">
        <f t="shared" ref="C107" si="124">C108</f>
        <v>0</v>
      </c>
      <c r="D107" s="15"/>
      <c r="E107" s="9"/>
      <c r="F107" s="15"/>
      <c r="G107" s="9"/>
      <c r="H107" s="15"/>
      <c r="I107" s="9">
        <v>0</v>
      </c>
      <c r="J107" s="35"/>
      <c r="K107" s="9">
        <f t="shared" si="86"/>
        <v>0</v>
      </c>
      <c r="L107" s="20" t="e">
        <f t="shared" si="87"/>
        <v>#DIV/0!</v>
      </c>
      <c r="M107" s="9"/>
      <c r="N107" s="9"/>
      <c r="O107" s="20"/>
    </row>
    <row r="108" spans="1:15" ht="15.75" hidden="1">
      <c r="A108" s="10" t="s">
        <v>7</v>
      </c>
      <c r="B108" s="12"/>
      <c r="C108" s="9"/>
      <c r="D108" s="15">
        <v>30000</v>
      </c>
      <c r="E108" s="9">
        <f>C108+D108</f>
        <v>30000</v>
      </c>
      <c r="F108" s="15">
        <f>-200000-9079.44</f>
        <v>-209079.44</v>
      </c>
      <c r="G108" s="9">
        <f>E108+F108</f>
        <v>-179079.44</v>
      </c>
      <c r="H108" s="15">
        <v>0</v>
      </c>
      <c r="I108" s="9">
        <v>0</v>
      </c>
      <c r="J108" s="35"/>
      <c r="K108" s="9">
        <f t="shared" si="86"/>
        <v>0</v>
      </c>
      <c r="L108" s="20" t="e">
        <f t="shared" si="87"/>
        <v>#DIV/0!</v>
      </c>
      <c r="M108" s="9"/>
      <c r="N108" s="9">
        <f t="shared" si="81"/>
        <v>0</v>
      </c>
      <c r="O108" s="20" t="e">
        <f t="shared" si="82"/>
        <v>#DIV/0!</v>
      </c>
    </row>
    <row r="109" spans="1:15" ht="78.75">
      <c r="A109" s="26" t="s">
        <v>120</v>
      </c>
      <c r="B109" s="24" t="s">
        <v>48</v>
      </c>
      <c r="C109" s="9">
        <f t="shared" ref="C109" si="125">C111+C112+C113</f>
        <v>516000</v>
      </c>
      <c r="D109" s="15">
        <v>353618.67</v>
      </c>
      <c r="E109" s="9">
        <f>C109+D109</f>
        <v>869618.66999999993</v>
      </c>
      <c r="F109" s="15">
        <v>8245.2000000000007</v>
      </c>
      <c r="G109" s="9">
        <f>E109+F109</f>
        <v>877863.86999999988</v>
      </c>
      <c r="H109" s="15"/>
      <c r="I109" s="9">
        <v>1921132.5</v>
      </c>
      <c r="J109" s="35">
        <f t="shared" ref="J109" si="126">J111+J112+J113</f>
        <v>1921132.5</v>
      </c>
      <c r="K109" s="9">
        <f t="shared" si="86"/>
        <v>-1405132.5</v>
      </c>
      <c r="L109" s="20">
        <f t="shared" si="87"/>
        <v>3.723125</v>
      </c>
      <c r="M109" s="9" t="s">
        <v>130</v>
      </c>
      <c r="N109" s="9">
        <f t="shared" si="81"/>
        <v>0</v>
      </c>
      <c r="O109" s="20">
        <f t="shared" si="82"/>
        <v>1</v>
      </c>
    </row>
    <row r="110" spans="1:15" ht="15.75" hidden="1">
      <c r="A110" s="3" t="s">
        <v>6</v>
      </c>
      <c r="B110" s="14"/>
      <c r="C110" s="9"/>
      <c r="D110" s="15">
        <v>17327315.050000001</v>
      </c>
      <c r="E110" s="9">
        <f>C110+D110</f>
        <v>17327315.050000001</v>
      </c>
      <c r="F110" s="15">
        <v>404013.08</v>
      </c>
      <c r="G110" s="9">
        <f>E110+F110</f>
        <v>17731328.129999999</v>
      </c>
      <c r="H110" s="15"/>
      <c r="I110" s="9"/>
      <c r="J110" s="35"/>
      <c r="K110" s="9">
        <f t="shared" si="86"/>
        <v>0</v>
      </c>
      <c r="L110" s="20" t="e">
        <f t="shared" si="87"/>
        <v>#DIV/0!</v>
      </c>
      <c r="M110" s="9"/>
      <c r="N110" s="9">
        <f t="shared" si="81"/>
        <v>0</v>
      </c>
      <c r="O110" s="20" t="e">
        <f t="shared" si="82"/>
        <v>#DIV/0!</v>
      </c>
    </row>
    <row r="111" spans="1:15" ht="15.75" hidden="1">
      <c r="A111" s="10" t="s">
        <v>8</v>
      </c>
      <c r="B111" s="12"/>
      <c r="C111" s="9">
        <v>516000</v>
      </c>
      <c r="D111" s="15">
        <f t="shared" ref="D111:E111" si="127">D113+D114</f>
        <v>27231286.289999999</v>
      </c>
      <c r="E111" s="9">
        <f t="shared" si="127"/>
        <v>29231286.289999999</v>
      </c>
      <c r="F111" s="15">
        <f t="shared" ref="F111:G111" si="128">F113+F114</f>
        <v>209079.44</v>
      </c>
      <c r="G111" s="9">
        <f t="shared" si="128"/>
        <v>29440365.73</v>
      </c>
      <c r="H111" s="15">
        <f t="shared" ref="H111" si="129">H113+H114</f>
        <v>0</v>
      </c>
      <c r="I111" s="9">
        <v>516000</v>
      </c>
      <c r="J111" s="35">
        <v>516000</v>
      </c>
      <c r="K111" s="9">
        <f t="shared" si="86"/>
        <v>0</v>
      </c>
      <c r="L111" s="20">
        <f t="shared" si="87"/>
        <v>1</v>
      </c>
      <c r="M111" s="9"/>
      <c r="N111" s="9">
        <f t="shared" si="81"/>
        <v>0</v>
      </c>
      <c r="O111" s="20">
        <f t="shared" si="82"/>
        <v>1</v>
      </c>
    </row>
    <row r="112" spans="1:15" ht="15.75" hidden="1">
      <c r="A112" s="3" t="s">
        <v>9</v>
      </c>
      <c r="B112" s="12"/>
      <c r="C112" s="9"/>
      <c r="D112" s="15"/>
      <c r="E112" s="9"/>
      <c r="F112" s="15"/>
      <c r="G112" s="9"/>
      <c r="H112" s="15"/>
      <c r="I112" s="9">
        <v>606358.97</v>
      </c>
      <c r="J112" s="35">
        <v>606358.97</v>
      </c>
      <c r="K112" s="9">
        <f t="shared" si="86"/>
        <v>-606358.97</v>
      </c>
      <c r="L112" s="20" t="e">
        <f t="shared" si="87"/>
        <v>#DIV/0!</v>
      </c>
      <c r="M112" s="9"/>
      <c r="N112" s="9"/>
      <c r="O112" s="20"/>
    </row>
    <row r="113" spans="1:15" ht="15.75" hidden="1">
      <c r="A113" s="3" t="s">
        <v>10</v>
      </c>
      <c r="B113" s="12"/>
      <c r="C113" s="13"/>
      <c r="D113" s="15">
        <v>200000</v>
      </c>
      <c r="E113" s="9">
        <f>C113+D113</f>
        <v>200000</v>
      </c>
      <c r="F113" s="15">
        <f>227060.28-17980.84</f>
        <v>209079.44</v>
      </c>
      <c r="G113" s="9">
        <f>E113+F113</f>
        <v>409079.44</v>
      </c>
      <c r="H113" s="15"/>
      <c r="I113" s="9">
        <v>798773.53</v>
      </c>
      <c r="J113" s="35">
        <v>798773.53</v>
      </c>
      <c r="K113" s="9">
        <f t="shared" si="86"/>
        <v>-798773.53</v>
      </c>
      <c r="L113" s="20" t="e">
        <f t="shared" si="87"/>
        <v>#DIV/0!</v>
      </c>
      <c r="M113" s="9"/>
      <c r="N113" s="9">
        <f t="shared" si="81"/>
        <v>0</v>
      </c>
      <c r="O113" s="20">
        <f t="shared" si="82"/>
        <v>1</v>
      </c>
    </row>
    <row r="114" spans="1:15" ht="78.75">
      <c r="A114" s="26" t="s">
        <v>49</v>
      </c>
      <c r="B114" s="24" t="s">
        <v>50</v>
      </c>
      <c r="C114" s="9">
        <f t="shared" ref="C114" si="130">C115</f>
        <v>2000000</v>
      </c>
      <c r="D114" s="15">
        <v>27031286.289999999</v>
      </c>
      <c r="E114" s="9">
        <f>C114+D114</f>
        <v>29031286.289999999</v>
      </c>
      <c r="F114" s="15"/>
      <c r="G114" s="9">
        <f>E114+F114</f>
        <v>29031286.289999999</v>
      </c>
      <c r="H114" s="15"/>
      <c r="I114" s="9">
        <v>7028000</v>
      </c>
      <c r="J114" s="35">
        <f t="shared" ref="J114" si="131">J115</f>
        <v>7028000</v>
      </c>
      <c r="K114" s="9">
        <f t="shared" si="86"/>
        <v>-5028000</v>
      </c>
      <c r="L114" s="20">
        <f t="shared" si="87"/>
        <v>3.5139999999999998</v>
      </c>
      <c r="M114" s="9" t="s">
        <v>131</v>
      </c>
      <c r="N114" s="9">
        <f t="shared" si="81"/>
        <v>0</v>
      </c>
      <c r="O114" s="20">
        <f t="shared" si="82"/>
        <v>1</v>
      </c>
    </row>
    <row r="115" spans="1:15" ht="63" hidden="1">
      <c r="A115" s="10" t="s">
        <v>7</v>
      </c>
      <c r="B115" s="12"/>
      <c r="C115" s="9">
        <v>2000000</v>
      </c>
      <c r="D115" s="15">
        <f t="shared" ref="D115:E115" si="132">D117+D118</f>
        <v>403600</v>
      </c>
      <c r="E115" s="9">
        <f t="shared" si="132"/>
        <v>2403600</v>
      </c>
      <c r="F115" s="15">
        <f t="shared" ref="F115:G115" si="133">F117+F118</f>
        <v>4797191.25</v>
      </c>
      <c r="G115" s="9">
        <f t="shared" si="133"/>
        <v>7200791.25</v>
      </c>
      <c r="H115" s="15">
        <f t="shared" ref="H115" si="134">H117+H118</f>
        <v>792450.82000000007</v>
      </c>
      <c r="I115" s="9">
        <v>7028000</v>
      </c>
      <c r="J115" s="35">
        <v>7028000</v>
      </c>
      <c r="K115" s="9">
        <f t="shared" si="86"/>
        <v>-5028000</v>
      </c>
      <c r="L115" s="20">
        <f t="shared" si="87"/>
        <v>3.5139999999999998</v>
      </c>
      <c r="M115" s="53" t="s">
        <v>99</v>
      </c>
      <c r="N115" s="9">
        <f t="shared" ref="N115:N116" si="135">I115-J115</f>
        <v>0</v>
      </c>
      <c r="O115" s="20">
        <f t="shared" ref="O115:O116" si="136">J115/I115</f>
        <v>1</v>
      </c>
    </row>
    <row r="116" spans="1:15" ht="63">
      <c r="A116" s="26" t="s">
        <v>121</v>
      </c>
      <c r="B116" s="24" t="s">
        <v>51</v>
      </c>
      <c r="C116" s="9">
        <f t="shared" ref="C116" si="137">C117</f>
        <v>2000000</v>
      </c>
      <c r="D116" s="15"/>
      <c r="E116" s="9"/>
      <c r="F116" s="15"/>
      <c r="G116" s="9"/>
      <c r="H116" s="15"/>
      <c r="I116" s="9">
        <v>1252075</v>
      </c>
      <c r="J116" s="35">
        <f t="shared" ref="J116" si="138">J117</f>
        <v>732175</v>
      </c>
      <c r="K116" s="9">
        <f t="shared" si="86"/>
        <v>1267825</v>
      </c>
      <c r="L116" s="20">
        <f t="shared" si="87"/>
        <v>0.36608750000000001</v>
      </c>
      <c r="M116" s="9" t="s">
        <v>132</v>
      </c>
      <c r="N116" s="9">
        <f t="shared" si="135"/>
        <v>519900</v>
      </c>
      <c r="O116" s="20">
        <f t="shared" si="136"/>
        <v>0.58476928299023623</v>
      </c>
    </row>
    <row r="117" spans="1:15" ht="15.75" hidden="1">
      <c r="A117" s="10" t="s">
        <v>7</v>
      </c>
      <c r="B117" s="12"/>
      <c r="C117" s="9">
        <v>2000000</v>
      </c>
      <c r="D117" s="15">
        <v>403600</v>
      </c>
      <c r="E117" s="9">
        <f>C117+D117</f>
        <v>2403600</v>
      </c>
      <c r="F117" s="15">
        <f>4475541.76+9649.49</f>
        <v>4485191.25</v>
      </c>
      <c r="G117" s="9">
        <f>E117+F117</f>
        <v>6888791.25</v>
      </c>
      <c r="H117" s="15">
        <f>-351284.98+198735.8</f>
        <v>-152549.18</v>
      </c>
      <c r="I117" s="9">
        <v>1252075</v>
      </c>
      <c r="J117" s="35">
        <v>732175</v>
      </c>
      <c r="K117" s="9">
        <f t="shared" si="86"/>
        <v>1267825</v>
      </c>
      <c r="L117" s="20">
        <f t="shared" si="87"/>
        <v>0.36608750000000001</v>
      </c>
      <c r="M117" s="9"/>
      <c r="N117" s="9">
        <f t="shared" si="81"/>
        <v>519900</v>
      </c>
      <c r="O117" s="20">
        <f t="shared" si="82"/>
        <v>0.58476928299023623</v>
      </c>
    </row>
    <row r="118" spans="1:15" ht="63">
      <c r="A118" s="26" t="s">
        <v>53</v>
      </c>
      <c r="B118" s="24" t="s">
        <v>54</v>
      </c>
      <c r="C118" s="9">
        <f t="shared" ref="C118" si="139">SUM(C120:C122)</f>
        <v>100000</v>
      </c>
      <c r="D118" s="15"/>
      <c r="E118" s="9"/>
      <c r="F118" s="15">
        <f>312000</f>
        <v>312000</v>
      </c>
      <c r="G118" s="9">
        <f>E118+F118</f>
        <v>312000</v>
      </c>
      <c r="H118" s="15">
        <v>945000</v>
      </c>
      <c r="I118" s="9">
        <v>100000</v>
      </c>
      <c r="J118" s="35">
        <f t="shared" ref="J118" si="140">SUM(J120:J122)</f>
        <v>98240</v>
      </c>
      <c r="K118" s="9">
        <f t="shared" si="86"/>
        <v>1760</v>
      </c>
      <c r="L118" s="20">
        <f t="shared" si="87"/>
        <v>0.98240000000000005</v>
      </c>
      <c r="M118" s="9"/>
      <c r="N118" s="9">
        <f t="shared" si="81"/>
        <v>1760</v>
      </c>
      <c r="O118" s="20">
        <f t="shared" si="82"/>
        <v>0.98240000000000005</v>
      </c>
    </row>
    <row r="119" spans="1:15" s="25" customFormat="1" ht="31.5" hidden="1">
      <c r="A119" s="10"/>
      <c r="B119" s="14"/>
      <c r="C119" s="9"/>
      <c r="D119" s="15">
        <f t="shared" ref="D119:H119" si="141">D120</f>
        <v>0</v>
      </c>
      <c r="E119" s="9">
        <f t="shared" si="141"/>
        <v>100000</v>
      </c>
      <c r="F119" s="15">
        <f t="shared" si="141"/>
        <v>300000</v>
      </c>
      <c r="G119" s="9">
        <f t="shared" si="141"/>
        <v>400000</v>
      </c>
      <c r="H119" s="15">
        <f t="shared" si="141"/>
        <v>0</v>
      </c>
      <c r="I119" s="9"/>
      <c r="J119" s="35"/>
      <c r="K119" s="9">
        <f t="shared" si="86"/>
        <v>0</v>
      </c>
      <c r="L119" s="20" t="e">
        <f t="shared" si="87"/>
        <v>#DIV/0!</v>
      </c>
      <c r="M119" s="9" t="s">
        <v>97</v>
      </c>
      <c r="N119" s="9">
        <f t="shared" si="81"/>
        <v>0</v>
      </c>
      <c r="O119" s="20" t="e">
        <f t="shared" si="82"/>
        <v>#DIV/0!</v>
      </c>
    </row>
    <row r="120" spans="1:15" ht="15.75" hidden="1">
      <c r="A120" s="3" t="s">
        <v>55</v>
      </c>
      <c r="B120" s="12"/>
      <c r="C120" s="9">
        <v>100000</v>
      </c>
      <c r="D120" s="15"/>
      <c r="E120" s="9">
        <f>C120+D120</f>
        <v>100000</v>
      </c>
      <c r="F120" s="15">
        <f>300000</f>
        <v>300000</v>
      </c>
      <c r="G120" s="9">
        <f>E120+F120</f>
        <v>400000</v>
      </c>
      <c r="H120" s="15">
        <f>-81000+81000</f>
        <v>0</v>
      </c>
      <c r="I120" s="9">
        <v>100000</v>
      </c>
      <c r="J120" s="35">
        <v>98240</v>
      </c>
      <c r="K120" s="9">
        <f t="shared" si="86"/>
        <v>1760</v>
      </c>
      <c r="L120" s="20">
        <f t="shared" si="87"/>
        <v>0.98240000000000005</v>
      </c>
      <c r="M120" s="9"/>
      <c r="N120" s="9">
        <f t="shared" si="81"/>
        <v>1760</v>
      </c>
      <c r="O120" s="20">
        <f t="shared" si="82"/>
        <v>0.98240000000000005</v>
      </c>
    </row>
    <row r="121" spans="1:15" s="25" customFormat="1" ht="78.75" hidden="1">
      <c r="A121" s="3" t="s">
        <v>9</v>
      </c>
      <c r="B121" s="12"/>
      <c r="C121" s="13"/>
      <c r="D121" s="15">
        <f t="shared" ref="D121:H121" si="142">D122+D124</f>
        <v>0</v>
      </c>
      <c r="E121" s="9">
        <f t="shared" si="142"/>
        <v>1950000</v>
      </c>
      <c r="F121" s="15">
        <f t="shared" si="142"/>
        <v>0</v>
      </c>
      <c r="G121" s="9">
        <f t="shared" si="142"/>
        <v>1950000</v>
      </c>
      <c r="H121" s="15">
        <f t="shared" si="142"/>
        <v>-90000</v>
      </c>
      <c r="I121" s="9">
        <v>0</v>
      </c>
      <c r="J121" s="35"/>
      <c r="K121" s="9">
        <f t="shared" si="86"/>
        <v>0</v>
      </c>
      <c r="L121" s="20" t="e">
        <f t="shared" si="87"/>
        <v>#DIV/0!</v>
      </c>
      <c r="M121" s="48" t="s">
        <v>100</v>
      </c>
      <c r="N121" s="9">
        <f t="shared" si="81"/>
        <v>0</v>
      </c>
      <c r="O121" s="20" t="e">
        <f t="shared" si="82"/>
        <v>#DIV/0!</v>
      </c>
    </row>
    <row r="122" spans="1:15" ht="48" hidden="1" customHeight="1">
      <c r="A122" s="3" t="s">
        <v>10</v>
      </c>
      <c r="B122" s="12"/>
      <c r="C122" s="13"/>
      <c r="D122" s="15">
        <f t="shared" ref="D122:H122" si="143">D123</f>
        <v>0</v>
      </c>
      <c r="E122" s="9">
        <f t="shared" si="143"/>
        <v>1950000</v>
      </c>
      <c r="F122" s="15">
        <f t="shared" si="143"/>
        <v>0</v>
      </c>
      <c r="G122" s="9">
        <f t="shared" si="143"/>
        <v>1950000</v>
      </c>
      <c r="H122" s="15">
        <f t="shared" si="143"/>
        <v>-90000</v>
      </c>
      <c r="I122" s="9">
        <v>0</v>
      </c>
      <c r="J122" s="35"/>
      <c r="K122" s="9">
        <f t="shared" si="86"/>
        <v>0</v>
      </c>
      <c r="L122" s="20" t="e">
        <f t="shared" si="87"/>
        <v>#DIV/0!</v>
      </c>
      <c r="M122" s="9"/>
      <c r="N122" s="9">
        <f t="shared" si="81"/>
        <v>0</v>
      </c>
      <c r="O122" s="20" t="e">
        <f t="shared" si="82"/>
        <v>#DIV/0!</v>
      </c>
    </row>
    <row r="123" spans="1:15" ht="78.75">
      <c r="A123" s="3" t="s">
        <v>65</v>
      </c>
      <c r="B123" s="24" t="s">
        <v>57</v>
      </c>
      <c r="C123" s="9">
        <f t="shared" ref="C123" si="144">C124+C129+C134</f>
        <v>1950000</v>
      </c>
      <c r="D123" s="15"/>
      <c r="E123" s="9">
        <f>C123+D123</f>
        <v>1950000</v>
      </c>
      <c r="F123" s="15"/>
      <c r="G123" s="9">
        <f>E123+F123</f>
        <v>1950000</v>
      </c>
      <c r="H123" s="15">
        <f>-14500-35000-25000+14500-30000</f>
        <v>-90000</v>
      </c>
      <c r="I123" s="9">
        <v>31594453.710000001</v>
      </c>
      <c r="J123" s="35">
        <f t="shared" ref="J123" si="145">J124+J129+J134</f>
        <v>31551895.350000001</v>
      </c>
      <c r="K123" s="9">
        <f t="shared" si="86"/>
        <v>-29601895.350000001</v>
      </c>
      <c r="L123" s="20">
        <f t="shared" si="87"/>
        <v>16.180459153846154</v>
      </c>
      <c r="M123" s="9" t="s">
        <v>133</v>
      </c>
      <c r="N123" s="9">
        <f t="shared" si="81"/>
        <v>42558.359999999404</v>
      </c>
      <c r="O123" s="20">
        <f t="shared" si="82"/>
        <v>0.99865298003280467</v>
      </c>
    </row>
    <row r="124" spans="1:15" ht="42.75" hidden="1" customHeight="1">
      <c r="A124" s="10" t="s">
        <v>67</v>
      </c>
      <c r="B124" s="12" t="s">
        <v>59</v>
      </c>
      <c r="C124" s="9">
        <f t="shared" ref="C124" si="146">C126</f>
        <v>0</v>
      </c>
      <c r="D124" s="15">
        <f t="shared" ref="D124:H124" si="147">D125</f>
        <v>0</v>
      </c>
      <c r="E124" s="9">
        <f t="shared" si="147"/>
        <v>0</v>
      </c>
      <c r="F124" s="15">
        <f t="shared" si="147"/>
        <v>0</v>
      </c>
      <c r="G124" s="9">
        <f t="shared" si="147"/>
        <v>0</v>
      </c>
      <c r="H124" s="15">
        <f t="shared" si="147"/>
        <v>0</v>
      </c>
      <c r="I124" s="9">
        <v>0</v>
      </c>
      <c r="J124" s="35"/>
      <c r="K124" s="9">
        <f t="shared" si="86"/>
        <v>0</v>
      </c>
      <c r="L124" s="20" t="e">
        <f t="shared" si="87"/>
        <v>#DIV/0!</v>
      </c>
      <c r="M124" s="9"/>
      <c r="N124" s="9">
        <f t="shared" si="81"/>
        <v>0</v>
      </c>
      <c r="O124" s="20" t="e">
        <f t="shared" si="82"/>
        <v>#DIV/0!</v>
      </c>
    </row>
    <row r="125" spans="1:15" ht="15.75" hidden="1">
      <c r="A125" s="3" t="s">
        <v>6</v>
      </c>
      <c r="B125" s="12"/>
      <c r="C125" s="9"/>
      <c r="D125" s="15"/>
      <c r="E125" s="9">
        <f>C125+D125</f>
        <v>0</v>
      </c>
      <c r="F125" s="15"/>
      <c r="G125" s="9">
        <f>E125+F125</f>
        <v>0</v>
      </c>
      <c r="H125" s="15"/>
      <c r="I125" s="9"/>
      <c r="J125" s="35"/>
      <c r="K125" s="9">
        <f t="shared" si="86"/>
        <v>0</v>
      </c>
      <c r="L125" s="20" t="e">
        <f t="shared" si="87"/>
        <v>#DIV/0!</v>
      </c>
      <c r="M125" s="9"/>
      <c r="N125" s="9">
        <f t="shared" si="81"/>
        <v>0</v>
      </c>
      <c r="O125" s="20" t="e">
        <f t="shared" si="82"/>
        <v>#DIV/0!</v>
      </c>
    </row>
    <row r="126" spans="1:15" s="25" customFormat="1" ht="15.75" hidden="1">
      <c r="A126" s="10" t="s">
        <v>7</v>
      </c>
      <c r="B126" s="12"/>
      <c r="C126" s="9">
        <v>0</v>
      </c>
      <c r="D126" s="15">
        <f t="shared" ref="D126:H126" si="148">D127</f>
        <v>0</v>
      </c>
      <c r="E126" s="9">
        <f t="shared" si="148"/>
        <v>0</v>
      </c>
      <c r="F126" s="15">
        <f t="shared" si="148"/>
        <v>0</v>
      </c>
      <c r="G126" s="9">
        <f t="shared" si="148"/>
        <v>0</v>
      </c>
      <c r="H126" s="15">
        <f t="shared" si="148"/>
        <v>0</v>
      </c>
      <c r="I126" s="9">
        <v>0</v>
      </c>
      <c r="J126" s="35"/>
      <c r="K126" s="9">
        <f t="shared" si="86"/>
        <v>0</v>
      </c>
      <c r="L126" s="20" t="e">
        <f t="shared" si="87"/>
        <v>#DIV/0!</v>
      </c>
      <c r="M126" s="9"/>
      <c r="N126" s="9">
        <f t="shared" si="81"/>
        <v>0</v>
      </c>
      <c r="O126" s="20" t="e">
        <f t="shared" si="82"/>
        <v>#DIV/0!</v>
      </c>
    </row>
    <row r="127" spans="1:15" ht="15.75" hidden="1">
      <c r="A127" s="3" t="s">
        <v>9</v>
      </c>
      <c r="B127" s="12"/>
      <c r="C127" s="9"/>
      <c r="D127" s="15"/>
      <c r="E127" s="9">
        <f>C127+D127</f>
        <v>0</v>
      </c>
      <c r="F127" s="15"/>
      <c r="G127" s="9">
        <f>E127+F127</f>
        <v>0</v>
      </c>
      <c r="H127" s="15"/>
      <c r="I127" s="9">
        <v>0</v>
      </c>
      <c r="J127" s="35"/>
      <c r="K127" s="9">
        <f t="shared" si="86"/>
        <v>0</v>
      </c>
      <c r="L127" s="20" t="e">
        <f t="shared" si="87"/>
        <v>#DIV/0!</v>
      </c>
      <c r="M127" s="9"/>
      <c r="N127" s="9">
        <f t="shared" ref="N127:N150" si="149">I127-J127</f>
        <v>0</v>
      </c>
      <c r="O127" s="20" t="e">
        <f t="shared" ref="O127:O150" si="150">J127/I127</f>
        <v>#DIV/0!</v>
      </c>
    </row>
    <row r="128" spans="1:15" ht="15.75" hidden="1">
      <c r="A128" s="3" t="s">
        <v>10</v>
      </c>
      <c r="B128" s="12"/>
      <c r="C128" s="9"/>
      <c r="I128" s="4">
        <v>0</v>
      </c>
      <c r="J128" s="35"/>
      <c r="K128" s="9">
        <f t="shared" si="86"/>
        <v>0</v>
      </c>
      <c r="L128" s="20" t="e">
        <f t="shared" si="87"/>
        <v>#DIV/0!</v>
      </c>
      <c r="M128" s="54"/>
      <c r="N128" s="9">
        <f t="shared" si="149"/>
        <v>0</v>
      </c>
      <c r="O128" s="20" t="e">
        <f t="shared" si="150"/>
        <v>#DIV/0!</v>
      </c>
    </row>
    <row r="129" spans="1:15" ht="47.25" hidden="1">
      <c r="A129" s="3" t="s">
        <v>68</v>
      </c>
      <c r="B129" s="12" t="s">
        <v>60</v>
      </c>
      <c r="C129" s="9">
        <f>SUM(C131:C133)</f>
        <v>500000</v>
      </c>
      <c r="I129" s="35">
        <f t="shared" ref="I129:J129" si="151">SUM(I131:I133)</f>
        <v>16674747.539999999</v>
      </c>
      <c r="J129" s="35">
        <f t="shared" si="151"/>
        <v>16674747.539999999</v>
      </c>
      <c r="K129" s="9">
        <f t="shared" si="86"/>
        <v>-16174747.539999999</v>
      </c>
      <c r="L129" s="20">
        <f t="shared" si="87"/>
        <v>33.349495079999997</v>
      </c>
      <c r="M129" s="54"/>
      <c r="N129" s="9">
        <f t="shared" si="149"/>
        <v>0</v>
      </c>
      <c r="O129" s="20">
        <f t="shared" si="150"/>
        <v>1</v>
      </c>
    </row>
    <row r="130" spans="1:15" ht="15.75" hidden="1">
      <c r="A130" s="3" t="s">
        <v>6</v>
      </c>
      <c r="B130" s="12"/>
      <c r="C130" s="9"/>
      <c r="J130" s="35"/>
      <c r="K130" s="9">
        <f t="shared" si="86"/>
        <v>0</v>
      </c>
      <c r="L130" s="20" t="e">
        <f t="shared" si="87"/>
        <v>#DIV/0!</v>
      </c>
      <c r="M130" s="54"/>
      <c r="N130" s="9">
        <f t="shared" si="149"/>
        <v>0</v>
      </c>
      <c r="O130" s="20" t="e">
        <f t="shared" si="150"/>
        <v>#DIV/0!</v>
      </c>
    </row>
    <row r="131" spans="1:15" ht="15.75" hidden="1">
      <c r="A131" s="10" t="s">
        <v>8</v>
      </c>
      <c r="B131" s="12"/>
      <c r="C131" s="9">
        <v>500000</v>
      </c>
      <c r="I131" s="4">
        <v>2553804.7999999998</v>
      </c>
      <c r="J131" s="35">
        <f>70959.52+2053804.8+429040.48</f>
        <v>2553804.7999999998</v>
      </c>
      <c r="K131" s="9">
        <f t="shared" si="86"/>
        <v>-2053804.7999999998</v>
      </c>
      <c r="L131" s="20">
        <f t="shared" si="87"/>
        <v>5.1076096</v>
      </c>
      <c r="M131" s="54"/>
      <c r="N131" s="9">
        <f t="shared" si="149"/>
        <v>0</v>
      </c>
      <c r="O131" s="20">
        <f t="shared" si="150"/>
        <v>1</v>
      </c>
    </row>
    <row r="132" spans="1:15" ht="15.75" hidden="1">
      <c r="A132" s="3" t="s">
        <v>9</v>
      </c>
      <c r="B132" s="12"/>
      <c r="C132" s="9"/>
      <c r="I132" s="4">
        <v>282418.87</v>
      </c>
      <c r="J132" s="35">
        <v>282418.87</v>
      </c>
      <c r="K132" s="9">
        <f t="shared" si="86"/>
        <v>-282418.87</v>
      </c>
      <c r="L132" s="20" t="e">
        <f t="shared" si="87"/>
        <v>#DIV/0!</v>
      </c>
      <c r="M132" s="54"/>
      <c r="N132" s="9">
        <f t="shared" si="149"/>
        <v>0</v>
      </c>
      <c r="O132" s="20">
        <f t="shared" si="150"/>
        <v>1</v>
      </c>
    </row>
    <row r="133" spans="1:15" ht="15.75" hidden="1">
      <c r="A133" s="3" t="s">
        <v>10</v>
      </c>
      <c r="B133" s="12"/>
      <c r="C133" s="9"/>
      <c r="I133" s="4">
        <v>13838523.869999999</v>
      </c>
      <c r="J133" s="35">
        <v>13838523.869999999</v>
      </c>
      <c r="K133" s="9">
        <f t="shared" si="86"/>
        <v>-13838523.869999999</v>
      </c>
      <c r="L133" s="20" t="e">
        <f t="shared" si="87"/>
        <v>#DIV/0!</v>
      </c>
      <c r="M133" s="54"/>
      <c r="N133" s="9">
        <f t="shared" si="149"/>
        <v>0</v>
      </c>
      <c r="O133" s="20">
        <f t="shared" si="150"/>
        <v>1</v>
      </c>
    </row>
    <row r="134" spans="1:15" ht="47.25" hidden="1">
      <c r="A134" s="3" t="s">
        <v>69</v>
      </c>
      <c r="B134" s="12" t="s">
        <v>66</v>
      </c>
      <c r="C134" s="9">
        <f t="shared" ref="C134" si="152">C136+C137</f>
        <v>1450000</v>
      </c>
      <c r="I134" s="35">
        <f t="shared" ref="I134:J134" si="153">I136+I137</f>
        <v>14919706.17</v>
      </c>
      <c r="J134" s="35">
        <f t="shared" si="153"/>
        <v>14877147.810000001</v>
      </c>
      <c r="K134" s="9">
        <f t="shared" si="86"/>
        <v>-13427147.810000001</v>
      </c>
      <c r="L134" s="20">
        <f t="shared" si="87"/>
        <v>10.260101937931035</v>
      </c>
      <c r="M134" s="54"/>
      <c r="N134" s="9">
        <f t="shared" si="149"/>
        <v>42558.359999999404</v>
      </c>
      <c r="O134" s="20">
        <f t="shared" si="150"/>
        <v>0.99714750682653697</v>
      </c>
    </row>
    <row r="135" spans="1:15" ht="15.75" hidden="1">
      <c r="A135" s="3" t="s">
        <v>6</v>
      </c>
      <c r="B135" s="12"/>
      <c r="C135" s="9"/>
      <c r="J135" s="35"/>
      <c r="K135" s="9">
        <f t="shared" si="86"/>
        <v>0</v>
      </c>
      <c r="L135" s="20" t="e">
        <f t="shared" si="87"/>
        <v>#DIV/0!</v>
      </c>
      <c r="M135" s="54"/>
      <c r="N135" s="9">
        <f t="shared" si="149"/>
        <v>0</v>
      </c>
      <c r="O135" s="20" t="e">
        <f t="shared" si="150"/>
        <v>#DIV/0!</v>
      </c>
    </row>
    <row r="136" spans="1:15" ht="15.75" hidden="1">
      <c r="A136" s="10" t="s">
        <v>8</v>
      </c>
      <c r="B136" s="12"/>
      <c r="C136" s="9">
        <f>600000+850000</f>
        <v>1450000</v>
      </c>
      <c r="I136" s="4">
        <v>1450000</v>
      </c>
      <c r="J136" s="35">
        <f>416588.86+990852.78</f>
        <v>1407441.6400000001</v>
      </c>
      <c r="K136" s="9">
        <f t="shared" si="86"/>
        <v>42558.35999999987</v>
      </c>
      <c r="L136" s="20">
        <f t="shared" si="87"/>
        <v>0.97064940689655177</v>
      </c>
      <c r="M136" s="54"/>
      <c r="N136" s="9">
        <f t="shared" si="149"/>
        <v>42558.35999999987</v>
      </c>
      <c r="O136" s="20">
        <f t="shared" si="150"/>
        <v>0.97064940689655177</v>
      </c>
    </row>
    <row r="137" spans="1:15" ht="15.75" hidden="1">
      <c r="A137" s="3" t="s">
        <v>9</v>
      </c>
      <c r="B137" s="12"/>
      <c r="C137" s="9"/>
      <c r="I137" s="4">
        <v>13469706.17</v>
      </c>
      <c r="J137" s="35">
        <v>13469706.17</v>
      </c>
      <c r="K137" s="9">
        <f t="shared" ref="K137:K150" si="154">C137-J137</f>
        <v>-13469706.17</v>
      </c>
      <c r="L137" s="20" t="e">
        <f t="shared" ref="L137:L150" si="155">J137/C137</f>
        <v>#DIV/0!</v>
      </c>
      <c r="M137" s="54"/>
      <c r="N137" s="9">
        <f t="shared" si="149"/>
        <v>0</v>
      </c>
      <c r="O137" s="20">
        <f t="shared" si="150"/>
        <v>1</v>
      </c>
    </row>
    <row r="138" spans="1:15" ht="47.25">
      <c r="A138" s="3" t="s">
        <v>56</v>
      </c>
      <c r="B138" s="24" t="s">
        <v>58</v>
      </c>
      <c r="C138" s="9">
        <f t="shared" ref="C138" si="156">C140+C141</f>
        <v>12572000</v>
      </c>
      <c r="I138" s="35">
        <f t="shared" ref="I138:J138" si="157">I140+I141</f>
        <v>13285783.449999999</v>
      </c>
      <c r="J138" s="35">
        <f t="shared" si="157"/>
        <v>13285783.449999999</v>
      </c>
      <c r="K138" s="9">
        <f t="shared" si="154"/>
        <v>-713783.44999999925</v>
      </c>
      <c r="L138" s="20">
        <f t="shared" si="155"/>
        <v>1.0567756482659878</v>
      </c>
      <c r="M138" s="9" t="s">
        <v>134</v>
      </c>
      <c r="N138" s="9">
        <f t="shared" si="149"/>
        <v>0</v>
      </c>
      <c r="O138" s="20">
        <f t="shared" si="150"/>
        <v>1</v>
      </c>
    </row>
    <row r="139" spans="1:15" ht="15.75" hidden="1">
      <c r="A139" s="3" t="s">
        <v>6</v>
      </c>
      <c r="B139" s="24"/>
      <c r="C139" s="9"/>
      <c r="J139" s="35"/>
      <c r="K139" s="9">
        <f t="shared" si="154"/>
        <v>0</v>
      </c>
      <c r="L139" s="20" t="e">
        <f t="shared" si="155"/>
        <v>#DIV/0!</v>
      </c>
      <c r="M139" s="54"/>
      <c r="N139" s="9">
        <f t="shared" si="149"/>
        <v>0</v>
      </c>
      <c r="O139" s="20" t="e">
        <f t="shared" si="150"/>
        <v>#DIV/0!</v>
      </c>
    </row>
    <row r="140" spans="1:15" ht="15.75" hidden="1">
      <c r="A140" s="3" t="s">
        <v>55</v>
      </c>
      <c r="B140" s="12"/>
      <c r="C140" s="9">
        <f>1062000+11510000</f>
        <v>12572000</v>
      </c>
      <c r="I140" s="4">
        <v>13285783.449999999</v>
      </c>
      <c r="J140" s="35">
        <v>13285783.449999999</v>
      </c>
      <c r="K140" s="9">
        <f t="shared" si="154"/>
        <v>-713783.44999999925</v>
      </c>
      <c r="L140" s="20">
        <f t="shared" si="155"/>
        <v>1.0567756482659878</v>
      </c>
      <c r="M140" s="54"/>
      <c r="N140" s="9">
        <f t="shared" si="149"/>
        <v>0</v>
      </c>
      <c r="O140" s="20">
        <f t="shared" si="150"/>
        <v>1</v>
      </c>
    </row>
    <row r="141" spans="1:15" ht="15.75" hidden="1">
      <c r="A141" s="3" t="s">
        <v>9</v>
      </c>
      <c r="B141" s="12"/>
      <c r="C141" s="9"/>
      <c r="I141" s="4">
        <v>0</v>
      </c>
      <c r="J141" s="35"/>
      <c r="K141" s="9">
        <f t="shared" si="154"/>
        <v>0</v>
      </c>
      <c r="L141" s="20" t="e">
        <f t="shared" si="155"/>
        <v>#DIV/0!</v>
      </c>
      <c r="M141" s="54"/>
      <c r="N141" s="9">
        <f t="shared" si="149"/>
        <v>0</v>
      </c>
      <c r="O141" s="20" t="e">
        <f t="shared" si="150"/>
        <v>#DIV/0!</v>
      </c>
    </row>
    <row r="142" spans="1:15" ht="63">
      <c r="A142" s="26" t="s">
        <v>63</v>
      </c>
      <c r="B142" s="24" t="s">
        <v>80</v>
      </c>
      <c r="C142" s="9">
        <f t="shared" ref="C142" si="158">C143</f>
        <v>5000000</v>
      </c>
      <c r="I142" s="35">
        <f t="shared" ref="I142:J142" si="159">I143</f>
        <v>4708103</v>
      </c>
      <c r="J142" s="35">
        <f t="shared" si="159"/>
        <v>4459346.96</v>
      </c>
      <c r="K142" s="9">
        <f t="shared" si="154"/>
        <v>540653.04</v>
      </c>
      <c r="L142" s="20">
        <f t="shared" si="155"/>
        <v>0.89186939200000004</v>
      </c>
      <c r="M142" s="9" t="s">
        <v>135</v>
      </c>
      <c r="N142" s="9">
        <f t="shared" si="149"/>
        <v>248756.04000000004</v>
      </c>
      <c r="O142" s="20">
        <f t="shared" si="150"/>
        <v>0.947164274018644</v>
      </c>
    </row>
    <row r="143" spans="1:15" ht="15.75" hidden="1">
      <c r="A143" s="3" t="s">
        <v>55</v>
      </c>
      <c r="B143" s="12"/>
      <c r="C143" s="9">
        <f>50000+4950000</f>
        <v>5000000</v>
      </c>
      <c r="I143" s="4">
        <v>4708103</v>
      </c>
      <c r="J143" s="35">
        <v>4459346.96</v>
      </c>
      <c r="K143" s="9">
        <f t="shared" si="154"/>
        <v>540653.04</v>
      </c>
      <c r="L143" s="20">
        <f t="shared" si="155"/>
        <v>0.89186939200000004</v>
      </c>
      <c r="M143" s="54"/>
      <c r="N143" s="9">
        <f t="shared" si="149"/>
        <v>248756.04000000004</v>
      </c>
      <c r="O143" s="20">
        <f t="shared" si="150"/>
        <v>0.947164274018644</v>
      </c>
    </row>
    <row r="144" spans="1:15" ht="78.75">
      <c r="A144" s="26" t="s">
        <v>122</v>
      </c>
      <c r="B144" s="24" t="s">
        <v>81</v>
      </c>
      <c r="C144" s="9">
        <f t="shared" ref="C144" si="160">C145+C147</f>
        <v>385000</v>
      </c>
      <c r="I144" s="35">
        <f t="shared" ref="I144:J144" si="161">I145+I147</f>
        <v>269760</v>
      </c>
      <c r="J144" s="35">
        <f t="shared" si="161"/>
        <v>269760</v>
      </c>
      <c r="K144" s="9">
        <f t="shared" si="154"/>
        <v>115240</v>
      </c>
      <c r="L144" s="20">
        <f t="shared" si="155"/>
        <v>0.70067532467532467</v>
      </c>
      <c r="M144" s="9" t="s">
        <v>100</v>
      </c>
      <c r="N144" s="9">
        <f t="shared" si="149"/>
        <v>0</v>
      </c>
      <c r="O144" s="20">
        <f t="shared" si="150"/>
        <v>1</v>
      </c>
    </row>
    <row r="145" spans="1:15" ht="31.5" hidden="1">
      <c r="A145" s="3" t="s">
        <v>17</v>
      </c>
      <c r="B145" s="12" t="s">
        <v>61</v>
      </c>
      <c r="C145" s="9">
        <f t="shared" ref="C145" si="162">C146</f>
        <v>380000</v>
      </c>
      <c r="I145" s="35">
        <f t="shared" ref="I145:J145" si="163">I146</f>
        <v>264760</v>
      </c>
      <c r="J145" s="35">
        <f t="shared" si="163"/>
        <v>264760</v>
      </c>
      <c r="K145" s="9">
        <f t="shared" si="154"/>
        <v>115240</v>
      </c>
      <c r="L145" s="20">
        <f t="shared" si="155"/>
        <v>0.69673684210526321</v>
      </c>
      <c r="M145" s="54"/>
      <c r="N145" s="9">
        <f t="shared" si="149"/>
        <v>0</v>
      </c>
      <c r="O145" s="20">
        <f t="shared" si="150"/>
        <v>1</v>
      </c>
    </row>
    <row r="146" spans="1:15" ht="15.75" hidden="1">
      <c r="A146" s="10" t="s">
        <v>7</v>
      </c>
      <c r="B146" s="12"/>
      <c r="C146" s="9">
        <f>115000+50000+45000+30000+60000+50000+30000</f>
        <v>380000</v>
      </c>
      <c r="I146" s="4">
        <v>264760</v>
      </c>
      <c r="J146" s="35">
        <v>264760</v>
      </c>
      <c r="K146" s="9">
        <f t="shared" si="154"/>
        <v>115240</v>
      </c>
      <c r="L146" s="20">
        <f t="shared" si="155"/>
        <v>0.69673684210526321</v>
      </c>
      <c r="M146" s="54"/>
      <c r="N146" s="9">
        <f t="shared" si="149"/>
        <v>0</v>
      </c>
      <c r="O146" s="20">
        <f t="shared" si="150"/>
        <v>1</v>
      </c>
    </row>
    <row r="147" spans="1:15" ht="31.5" hidden="1">
      <c r="A147" s="3" t="s">
        <v>18</v>
      </c>
      <c r="B147" s="12" t="s">
        <v>62</v>
      </c>
      <c r="C147" s="9">
        <f t="shared" ref="C147" si="164">C148</f>
        <v>5000</v>
      </c>
      <c r="I147" s="35">
        <f t="shared" ref="I147:J147" si="165">I148</f>
        <v>5000</v>
      </c>
      <c r="J147" s="35">
        <f t="shared" si="165"/>
        <v>5000</v>
      </c>
      <c r="K147" s="9">
        <f t="shared" si="154"/>
        <v>0</v>
      </c>
      <c r="L147" s="20">
        <f t="shared" si="155"/>
        <v>1</v>
      </c>
      <c r="M147" s="54"/>
      <c r="N147" s="9">
        <f t="shared" si="149"/>
        <v>0</v>
      </c>
      <c r="O147" s="20">
        <f t="shared" si="150"/>
        <v>1</v>
      </c>
    </row>
    <row r="148" spans="1:15" ht="15.75" hidden="1">
      <c r="A148" s="10" t="s">
        <v>7</v>
      </c>
      <c r="B148" s="12"/>
      <c r="C148" s="9">
        <v>5000</v>
      </c>
      <c r="I148" s="4">
        <v>5000</v>
      </c>
      <c r="J148" s="35">
        <v>5000</v>
      </c>
      <c r="K148" s="9">
        <f t="shared" si="154"/>
        <v>0</v>
      </c>
      <c r="L148" s="20">
        <f t="shared" si="155"/>
        <v>1</v>
      </c>
      <c r="M148" s="54"/>
      <c r="N148" s="9">
        <f t="shared" si="149"/>
        <v>0</v>
      </c>
      <c r="O148" s="20">
        <f t="shared" si="150"/>
        <v>1</v>
      </c>
    </row>
    <row r="149" spans="1:15" ht="63">
      <c r="A149" s="26" t="s">
        <v>64</v>
      </c>
      <c r="B149" s="24" t="s">
        <v>22</v>
      </c>
      <c r="C149" s="9">
        <f t="shared" ref="C149" si="166">C150</f>
        <v>650000</v>
      </c>
      <c r="I149" s="35">
        <f t="shared" ref="I149:J149" si="167">I150</f>
        <v>650000</v>
      </c>
      <c r="J149" s="35">
        <f t="shared" si="167"/>
        <v>649406</v>
      </c>
      <c r="K149" s="9">
        <f t="shared" si="154"/>
        <v>594</v>
      </c>
      <c r="L149" s="20">
        <f t="shared" si="155"/>
        <v>0.99908615384615385</v>
      </c>
      <c r="M149" s="54"/>
      <c r="N149" s="9">
        <f t="shared" si="149"/>
        <v>594</v>
      </c>
      <c r="O149" s="20">
        <f t="shared" si="150"/>
        <v>0.99908615384615385</v>
      </c>
    </row>
    <row r="150" spans="1:15" ht="15.75" hidden="1">
      <c r="A150" s="10" t="s">
        <v>7</v>
      </c>
      <c r="B150" s="12"/>
      <c r="C150" s="9">
        <v>650000</v>
      </c>
      <c r="I150" s="4">
        <v>650000</v>
      </c>
      <c r="J150" s="35">
        <v>649406</v>
      </c>
      <c r="K150" s="9">
        <f t="shared" si="154"/>
        <v>594</v>
      </c>
      <c r="L150" s="20">
        <f t="shared" si="155"/>
        <v>0.99908615384615385</v>
      </c>
      <c r="M150" s="54"/>
      <c r="N150" s="9">
        <f t="shared" si="149"/>
        <v>594</v>
      </c>
      <c r="O150" s="20">
        <f t="shared" si="150"/>
        <v>0.99908615384615385</v>
      </c>
    </row>
  </sheetData>
  <mergeCells count="7">
    <mergeCell ref="A1:O1"/>
    <mergeCell ref="N5:O5"/>
    <mergeCell ref="K5:L5"/>
    <mergeCell ref="M5:M6"/>
    <mergeCell ref="A5:A6"/>
    <mergeCell ref="J5:J6"/>
    <mergeCell ref="C5:I5"/>
  </mergeCells>
  <pageMargins left="0.70866141732283472" right="0.70866141732283472" top="0.54" bottom="0.41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Прогр(нов.форм)</vt:lpstr>
      <vt:lpstr>'9 Прогр(нов.форм)'!Заголовки_для_печати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1066</dc:creator>
  <cp:lastModifiedBy>Pshonyak</cp:lastModifiedBy>
  <cp:lastPrinted>2022-04-07T06:43:15Z</cp:lastPrinted>
  <dcterms:created xsi:type="dcterms:W3CDTF">2007-10-21T22:01:27Z</dcterms:created>
  <dcterms:modified xsi:type="dcterms:W3CDTF">2022-04-26T01:57:15Z</dcterms:modified>
</cp:coreProperties>
</file>